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095" windowWidth="7620" windowHeight="1365" firstSheet="3" activeTab="3"/>
  </bookViews>
  <sheets>
    <sheet name="вода" sheetId="1" state="hidden" r:id="rId1"/>
    <sheet name="ФОТ" sheetId="2" state="hidden" r:id="rId2"/>
    <sheet name="объемы" sheetId="3" state="hidden" r:id="rId3"/>
    <sheet name="приложение 1" sheetId="4" r:id="rId4"/>
    <sheet name="приложение 2" sheetId="5" r:id="rId5"/>
    <sheet name="приложение 3" sheetId="6" state="hidden" r:id="rId6"/>
    <sheet name="приложение 4" sheetId="7" r:id="rId7"/>
    <sheet name="приложение 5" sheetId="8" state="hidden" r:id="rId8"/>
    <sheet name="приложение 6" sheetId="9" state="hidden" r:id="rId9"/>
    <sheet name="приложение 7" sheetId="10" r:id="rId10"/>
    <sheet name="электроэнергия" sheetId="11" state="hidden" r:id="rId11"/>
    <sheet name="ФОТ АУП" sheetId="12" state="hidden" r:id="rId12"/>
    <sheet name="водный налог" sheetId="13" state="hidden" r:id="rId13"/>
    <sheet name="приложение 3а" sheetId="14" r:id="rId14"/>
  </sheets>
  <calcPr calcId="145621"/>
</workbook>
</file>

<file path=xl/calcChain.xml><?xml version="1.0" encoding="utf-8"?>
<calcChain xmlns="http://schemas.openxmlformats.org/spreadsheetml/2006/main">
  <c r="D10" i="5" l="1"/>
  <c r="D13" i="4"/>
  <c r="E18" i="4" l="1"/>
  <c r="D15" i="14" l="1"/>
  <c r="C15" i="14"/>
  <c r="D16" i="5"/>
  <c r="D14" i="5"/>
  <c r="D11" i="5"/>
  <c r="E14" i="14"/>
  <c r="E13" i="14"/>
  <c r="E12" i="14"/>
  <c r="E11" i="14"/>
  <c r="E10" i="14"/>
  <c r="E9" i="14"/>
  <c r="E15" i="14" l="1"/>
  <c r="C13" i="5"/>
  <c r="E17" i="4" l="1"/>
  <c r="I79" i="1" l="1"/>
  <c r="L52" i="1" l="1"/>
  <c r="L106" i="1"/>
  <c r="K106" i="1"/>
  <c r="L105" i="1"/>
  <c r="K105" i="1"/>
  <c r="I105" i="1" l="1"/>
  <c r="I106" i="1"/>
  <c r="O76" i="1"/>
  <c r="K76" i="1" s="1"/>
  <c r="M14" i="1"/>
  <c r="C95" i="9"/>
  <c r="C96" i="9" s="1"/>
  <c r="D83" i="9"/>
  <c r="D80" i="9" s="1"/>
  <c r="H80" i="9"/>
  <c r="G80" i="9"/>
  <c r="F80" i="9"/>
  <c r="E80" i="9"/>
  <c r="D75" i="9"/>
  <c r="D62" i="9"/>
  <c r="I55" i="9"/>
  <c r="D45" i="9"/>
  <c r="I44" i="9"/>
  <c r="H44" i="9"/>
  <c r="G44" i="9"/>
  <c r="F44" i="9"/>
  <c r="E44" i="9"/>
  <c r="D44" i="9"/>
  <c r="I43" i="9"/>
  <c r="I84" i="9" s="1"/>
  <c r="H43" i="9"/>
  <c r="H84" i="9" s="1"/>
  <c r="G43" i="9"/>
  <c r="F43" i="9"/>
  <c r="F84" i="9" s="1"/>
  <c r="E43" i="9"/>
  <c r="D43" i="9"/>
  <c r="K109" i="8"/>
  <c r="F106" i="8"/>
  <c r="E106" i="8"/>
  <c r="K103" i="8"/>
  <c r="J103" i="8"/>
  <c r="I103" i="8"/>
  <c r="K99" i="8"/>
  <c r="J99" i="8"/>
  <c r="I99" i="8"/>
  <c r="H97" i="8"/>
  <c r="H96" i="8"/>
  <c r="F95" i="8"/>
  <c r="F96" i="8" s="1"/>
  <c r="E95" i="8"/>
  <c r="E96" i="8" s="1"/>
  <c r="D95" i="8"/>
  <c r="D96" i="8" s="1"/>
  <c r="H95" i="8" s="1"/>
  <c r="H93" i="8"/>
  <c r="H92" i="8"/>
  <c r="K91" i="8"/>
  <c r="J91" i="8"/>
  <c r="I91" i="8"/>
  <c r="H91" i="8"/>
  <c r="K90" i="8"/>
  <c r="J90" i="8"/>
  <c r="I90" i="8"/>
  <c r="H90" i="8"/>
  <c r="H89" i="8"/>
  <c r="H88" i="8"/>
  <c r="H87" i="8"/>
  <c r="H86" i="8"/>
  <c r="K85" i="8"/>
  <c r="J85" i="8"/>
  <c r="I85" i="8"/>
  <c r="H85" i="8"/>
  <c r="H84" i="8"/>
  <c r="H83" i="8"/>
  <c r="J82" i="8"/>
  <c r="I82" i="8"/>
  <c r="H82" i="8"/>
  <c r="H81" i="8"/>
  <c r="H80" i="8"/>
  <c r="K79" i="8"/>
  <c r="J79" i="8"/>
  <c r="I79" i="8"/>
  <c r="H79" i="8"/>
  <c r="H78" i="8"/>
  <c r="H77" i="8"/>
  <c r="H76" i="8"/>
  <c r="H75" i="8"/>
  <c r="J74" i="8"/>
  <c r="I74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J61" i="8"/>
  <c r="I61" i="8"/>
  <c r="H61" i="8"/>
  <c r="H60" i="8"/>
  <c r="H59" i="8"/>
  <c r="H58" i="8"/>
  <c r="H57" i="8"/>
  <c r="H56" i="8"/>
  <c r="H55" i="8"/>
  <c r="K54" i="8"/>
  <c r="J54" i="8"/>
  <c r="I54" i="8"/>
  <c r="H54" i="8"/>
  <c r="H53" i="8"/>
  <c r="H52" i="8"/>
  <c r="H51" i="8"/>
  <c r="H50" i="8"/>
  <c r="K49" i="8"/>
  <c r="K53" i="8" s="1"/>
  <c r="J49" i="8"/>
  <c r="J53" i="8" s="1"/>
  <c r="I49" i="8"/>
  <c r="I53" i="8" s="1"/>
  <c r="H49" i="8"/>
  <c r="H48" i="8"/>
  <c r="H47" i="8"/>
  <c r="H46" i="8"/>
  <c r="H45" i="8"/>
  <c r="J44" i="8"/>
  <c r="I44" i="8"/>
  <c r="H44" i="8"/>
  <c r="K43" i="8"/>
  <c r="J43" i="8"/>
  <c r="I43" i="8"/>
  <c r="H43" i="8"/>
  <c r="H42" i="8"/>
  <c r="H41" i="8"/>
  <c r="H40" i="8"/>
  <c r="H39" i="8"/>
  <c r="H38" i="8"/>
  <c r="H37" i="8"/>
  <c r="H36" i="8"/>
  <c r="H35" i="8"/>
  <c r="K34" i="8"/>
  <c r="K38" i="8" s="1"/>
  <c r="K33" i="8" s="1"/>
  <c r="J34" i="8"/>
  <c r="J38" i="8" s="1"/>
  <c r="J33" i="8" s="1"/>
  <c r="I34" i="8"/>
  <c r="I38" i="8" s="1"/>
  <c r="I33" i="8" s="1"/>
  <c r="H34" i="8"/>
  <c r="H33" i="8"/>
  <c r="H32" i="8"/>
  <c r="H31" i="8"/>
  <c r="H30" i="8"/>
  <c r="H29" i="8"/>
  <c r="H28" i="8"/>
  <c r="H27" i="8"/>
  <c r="H26" i="8"/>
  <c r="K25" i="8"/>
  <c r="K30" i="8" s="1"/>
  <c r="J25" i="8"/>
  <c r="J30" i="8" s="1"/>
  <c r="I25" i="8"/>
  <c r="I30" i="8" s="1"/>
  <c r="H25" i="8"/>
  <c r="H24" i="8"/>
  <c r="H23" i="8"/>
  <c r="H22" i="8"/>
  <c r="K21" i="8"/>
  <c r="J21" i="8"/>
  <c r="I21" i="8"/>
  <c r="H21" i="8"/>
  <c r="H20" i="8"/>
  <c r="H19" i="8"/>
  <c r="H18" i="8"/>
  <c r="H17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J11" i="8" s="1"/>
  <c r="I12" i="8"/>
  <c r="H12" i="8"/>
  <c r="H11" i="8"/>
  <c r="H10" i="8"/>
  <c r="A10" i="7"/>
  <c r="E15" i="6"/>
  <c r="E14" i="6"/>
  <c r="E13" i="6"/>
  <c r="E12" i="6"/>
  <c r="E11" i="6"/>
  <c r="E10" i="6"/>
  <c r="E16" i="5"/>
  <c r="E15" i="5"/>
  <c r="E14" i="5"/>
  <c r="E13" i="5"/>
  <c r="E12" i="5"/>
  <c r="E11" i="5"/>
  <c r="D17" i="5"/>
  <c r="C17" i="5"/>
  <c r="E29" i="4"/>
  <c r="E28" i="4"/>
  <c r="E27" i="4"/>
  <c r="E26" i="4"/>
  <c r="E25" i="4"/>
  <c r="E16" i="4"/>
  <c r="E15" i="4"/>
  <c r="E14" i="4"/>
  <c r="E12" i="4"/>
  <c r="E11" i="4"/>
  <c r="E10" i="4"/>
  <c r="E13" i="4" l="1"/>
  <c r="E16" i="6"/>
  <c r="E84" i="9"/>
  <c r="E85" i="9" s="1"/>
  <c r="G84" i="9"/>
  <c r="I11" i="8"/>
  <c r="I9" i="8" s="1"/>
  <c r="I83" i="8" s="1"/>
  <c r="K11" i="8"/>
  <c r="I42" i="8"/>
  <c r="K42" i="8"/>
  <c r="H94" i="8"/>
  <c r="J9" i="8"/>
  <c r="K9" i="8"/>
  <c r="K83" i="8" s="1"/>
  <c r="K84" i="8" s="1"/>
  <c r="J42" i="8"/>
  <c r="D84" i="9"/>
  <c r="D85" i="9" s="1"/>
  <c r="K92" i="8"/>
  <c r="D93" i="9"/>
  <c r="D95" i="9" s="1"/>
  <c r="D96" i="9" s="1"/>
  <c r="F93" i="9"/>
  <c r="F95" i="9" s="1"/>
  <c r="F96" i="9" s="1"/>
  <c r="F85" i="9"/>
  <c r="H93" i="9"/>
  <c r="H95" i="9" s="1"/>
  <c r="H96" i="9" s="1"/>
  <c r="H85" i="9"/>
  <c r="E93" i="9"/>
  <c r="E95" i="9" s="1"/>
  <c r="E96" i="9" s="1"/>
  <c r="G93" i="9"/>
  <c r="G95" i="9" s="1"/>
  <c r="G96" i="9" s="1"/>
  <c r="G85" i="9"/>
  <c r="I93" i="9"/>
  <c r="I95" i="9" s="1"/>
  <c r="I96" i="9" s="1"/>
  <c r="I98" i="9" s="1"/>
  <c r="I85" i="9"/>
  <c r="E10" i="5"/>
  <c r="E17" i="5" s="1"/>
  <c r="I29" i="8"/>
  <c r="K29" i="8"/>
  <c r="I37" i="8"/>
  <c r="K37" i="8"/>
  <c r="I52" i="8"/>
  <c r="K52" i="8"/>
  <c r="J29" i="8"/>
  <c r="J37" i="8"/>
  <c r="J52" i="8"/>
  <c r="L76" i="1"/>
  <c r="I76" i="1" s="1"/>
  <c r="M76" i="1" s="1"/>
  <c r="L14" i="1"/>
  <c r="L88" i="1"/>
  <c r="O88" i="1"/>
  <c r="I92" i="8" l="1"/>
  <c r="I84" i="8"/>
  <c r="J83" i="8"/>
  <c r="K111" i="8"/>
  <c r="K105" i="8"/>
  <c r="K94" i="8"/>
  <c r="K95" i="8" s="1"/>
  <c r="I105" i="8"/>
  <c r="I94" i="8"/>
  <c r="I95" i="8" s="1"/>
  <c r="I97" i="8" s="1"/>
  <c r="L104" i="1"/>
  <c r="K104" i="1"/>
  <c r="L93" i="1"/>
  <c r="K93" i="1"/>
  <c r="C57" i="13"/>
  <c r="C58" i="13" s="1"/>
  <c r="E56" i="13"/>
  <c r="E55" i="13"/>
  <c r="C31" i="13"/>
  <c r="C32" i="13" s="1"/>
  <c r="E30" i="13"/>
  <c r="E29" i="13"/>
  <c r="C9" i="13"/>
  <c r="C10" i="13" s="1"/>
  <c r="E8" i="13"/>
  <c r="E7" i="13"/>
  <c r="O79" i="1"/>
  <c r="E66" i="1"/>
  <c r="J92" i="8" l="1"/>
  <c r="J84" i="8"/>
  <c r="E9" i="13"/>
  <c r="E10" i="13" s="1"/>
  <c r="E57" i="13"/>
  <c r="E58" i="13" s="1"/>
  <c r="E31" i="13"/>
  <c r="E32" i="13" s="1"/>
  <c r="M19" i="12"/>
  <c r="H11" i="12"/>
  <c r="I11" i="12" s="1"/>
  <c r="K11" i="12" s="1"/>
  <c r="L11" i="12" s="1"/>
  <c r="M11" i="12" s="1"/>
  <c r="H12" i="12"/>
  <c r="I12" i="12" s="1"/>
  <c r="H13" i="12"/>
  <c r="H14" i="12"/>
  <c r="I14" i="12" s="1"/>
  <c r="K14" i="12" s="1"/>
  <c r="L14" i="12" s="1"/>
  <c r="M14" i="12" s="1"/>
  <c r="H15" i="12"/>
  <c r="I15" i="12" s="1"/>
  <c r="H16" i="12"/>
  <c r="I16" i="12" s="1"/>
  <c r="K16" i="12" s="1"/>
  <c r="L16" i="12" s="1"/>
  <c r="M16" i="12" s="1"/>
  <c r="H10" i="12"/>
  <c r="I10" i="12" s="1"/>
  <c r="C17" i="12"/>
  <c r="L64" i="1"/>
  <c r="K64" i="1"/>
  <c r="K66" i="1" s="1"/>
  <c r="J105" i="8" l="1"/>
  <c r="J94" i="8"/>
  <c r="J95" i="8" s="1"/>
  <c r="K15" i="12"/>
  <c r="L15" i="12" s="1"/>
  <c r="M15" i="12" s="1"/>
  <c r="K12" i="12"/>
  <c r="L12" i="12" s="1"/>
  <c r="M12" i="12" s="1"/>
  <c r="I13" i="12"/>
  <c r="K13" i="12" s="1"/>
  <c r="L13" i="12" s="1"/>
  <c r="M13" i="12" s="1"/>
  <c r="K10" i="12"/>
  <c r="L57" i="1"/>
  <c r="K57" i="1"/>
  <c r="K60" i="1" s="1"/>
  <c r="K51" i="1"/>
  <c r="L42" i="1"/>
  <c r="K42" i="1"/>
  <c r="K45" i="1" s="1"/>
  <c r="M35" i="1"/>
  <c r="K33" i="1"/>
  <c r="L33" i="1"/>
  <c r="L23" i="1"/>
  <c r="L26" i="1"/>
  <c r="K17" i="12" l="1"/>
  <c r="J97" i="8"/>
  <c r="K97" i="8"/>
  <c r="I33" i="1"/>
  <c r="K37" i="1"/>
  <c r="L10" i="12"/>
  <c r="G23" i="1"/>
  <c r="L25" i="1"/>
  <c r="K25" i="1"/>
  <c r="F22" i="11"/>
  <c r="H22" i="11" s="1"/>
  <c r="F21" i="11"/>
  <c r="H21" i="11" s="1"/>
  <c r="F20" i="11"/>
  <c r="H20" i="11" s="1"/>
  <c r="F19" i="11"/>
  <c r="L19" i="11" s="1"/>
  <c r="F18" i="11"/>
  <c r="H18" i="11" s="1"/>
  <c r="F17" i="11"/>
  <c r="H17" i="11" s="1"/>
  <c r="F16" i="11"/>
  <c r="H16" i="11" s="1"/>
  <c r="F15" i="11"/>
  <c r="L15" i="11" s="1"/>
  <c r="F14" i="11"/>
  <c r="H14" i="11" s="1"/>
  <c r="F13" i="11"/>
  <c r="H13" i="11" s="1"/>
  <c r="F12" i="11"/>
  <c r="H12" i="11" s="1"/>
  <c r="F11" i="11"/>
  <c r="H11" i="11" s="1"/>
  <c r="L11" i="11" s="1"/>
  <c r="F10" i="11"/>
  <c r="H10" i="11" s="1"/>
  <c r="R8" i="11"/>
  <c r="J5" i="11" s="1"/>
  <c r="F7" i="11"/>
  <c r="H7" i="11" s="1"/>
  <c r="L7" i="11" s="1"/>
  <c r="M7" i="11" s="1"/>
  <c r="F6" i="11"/>
  <c r="H6" i="11" s="1"/>
  <c r="L6" i="11" s="1"/>
  <c r="F5" i="11"/>
  <c r="H5" i="11" s="1"/>
  <c r="S3" i="11"/>
  <c r="G14" i="1"/>
  <c r="O14" i="1" s="1"/>
  <c r="H19" i="11" l="1"/>
  <c r="L5" i="11"/>
  <c r="M5" i="11" s="1"/>
  <c r="J10" i="11"/>
  <c r="L10" i="11"/>
  <c r="N10" i="11" s="1"/>
  <c r="N12" i="11" s="1"/>
  <c r="H15" i="11"/>
  <c r="I37" i="1"/>
  <c r="G29" i="11"/>
  <c r="M10" i="12"/>
  <c r="M17" i="12" s="1"/>
  <c r="M20" i="12" s="1"/>
  <c r="L12" i="11"/>
  <c r="L16" i="11"/>
  <c r="L17" i="11" s="1"/>
  <c r="L20" i="11"/>
  <c r="L21" i="11" s="1"/>
  <c r="C66" i="1"/>
  <c r="H60" i="1"/>
  <c r="C51" i="1"/>
  <c r="D51" i="1"/>
  <c r="E51" i="1"/>
  <c r="H51" i="1"/>
  <c r="D21" i="1"/>
  <c r="C21" i="1"/>
  <c r="L8" i="11" l="1"/>
  <c r="L22" i="11"/>
  <c r="P22" i="11" s="1"/>
  <c r="U6" i="11" s="1"/>
  <c r="P17" i="11"/>
  <c r="P5" i="11"/>
  <c r="P8" i="11" s="1"/>
  <c r="M13" i="11"/>
  <c r="N13" i="11"/>
  <c r="P12" i="11"/>
  <c r="L13" i="11"/>
  <c r="U5" i="11" s="1"/>
  <c r="C97" i="1"/>
  <c r="D97" i="1"/>
  <c r="C91" i="1"/>
  <c r="D91" i="1"/>
  <c r="C87" i="1"/>
  <c r="D87" i="1"/>
  <c r="C67" i="1"/>
  <c r="D67" i="1"/>
  <c r="C62" i="1"/>
  <c r="D62" i="1"/>
  <c r="C50" i="1"/>
  <c r="D50" i="1"/>
  <c r="C46" i="1"/>
  <c r="C41" i="1" s="1"/>
  <c r="D46" i="1"/>
  <c r="D41" i="1" s="1"/>
  <c r="C38" i="1"/>
  <c r="D38" i="1"/>
  <c r="C16" i="1"/>
  <c r="C15" i="1" s="1"/>
  <c r="C13" i="1" s="1"/>
  <c r="D16" i="1"/>
  <c r="D15" i="1" s="1"/>
  <c r="D13" i="1" s="1"/>
  <c r="P13" i="11" l="1"/>
  <c r="D95" i="1"/>
  <c r="C95" i="1"/>
  <c r="C96" i="1" s="1"/>
  <c r="D96" i="1"/>
  <c r="C103" i="1"/>
  <c r="I104" i="1"/>
  <c r="M17" i="1"/>
  <c r="M18" i="1"/>
  <c r="M19" i="1"/>
  <c r="M20" i="1"/>
  <c r="M32" i="1"/>
  <c r="M34" i="1"/>
  <c r="M36" i="1"/>
  <c r="M39" i="1"/>
  <c r="M40" i="1"/>
  <c r="M43" i="1"/>
  <c r="M44" i="1"/>
  <c r="M47" i="1"/>
  <c r="M48" i="1"/>
  <c r="M49" i="1"/>
  <c r="M53" i="1"/>
  <c r="M54" i="1"/>
  <c r="M55" i="1"/>
  <c r="M58" i="1"/>
  <c r="M59" i="1"/>
  <c r="M65" i="1"/>
  <c r="M71" i="1"/>
  <c r="M72" i="1"/>
  <c r="M73" i="1"/>
  <c r="M74" i="1"/>
  <c r="M75" i="1"/>
  <c r="M77" i="1"/>
  <c r="M78" i="1"/>
  <c r="M81" i="1"/>
  <c r="M82" i="1"/>
  <c r="M83" i="1"/>
  <c r="M84" i="1"/>
  <c r="M85" i="1"/>
  <c r="M89" i="1"/>
  <c r="M90" i="1"/>
  <c r="M79" i="1"/>
  <c r="L51" i="1"/>
  <c r="M52" i="1" l="1"/>
  <c r="I51" i="1"/>
  <c r="L60" i="1"/>
  <c r="I57" i="1"/>
  <c r="L66" i="1"/>
  <c r="M88" i="1"/>
  <c r="M104" i="1"/>
  <c r="J45" i="1"/>
  <c r="K30" i="1"/>
  <c r="K29" i="1" s="1"/>
  <c r="H97" i="1"/>
  <c r="E97" i="1"/>
  <c r="H29" i="1"/>
  <c r="J29" i="1"/>
  <c r="E29" i="1"/>
  <c r="J87" i="1"/>
  <c r="K87" i="1"/>
  <c r="L87" i="1"/>
  <c r="E87" i="1"/>
  <c r="H67" i="1"/>
  <c r="H62" i="1" s="1"/>
  <c r="J67" i="1"/>
  <c r="K67" i="1"/>
  <c r="L67" i="1"/>
  <c r="E67" i="1"/>
  <c r="E62" i="1" s="1"/>
  <c r="H66" i="1"/>
  <c r="J66" i="1"/>
  <c r="J51" i="1"/>
  <c r="H61" i="1"/>
  <c r="I61" i="1"/>
  <c r="J61" i="1"/>
  <c r="K61" i="1"/>
  <c r="L61" i="1"/>
  <c r="E61" i="1"/>
  <c r="J60" i="1"/>
  <c r="H46" i="1"/>
  <c r="H41" i="1" s="1"/>
  <c r="J46" i="1"/>
  <c r="J41" i="1" s="1"/>
  <c r="E46" i="1"/>
  <c r="E41" i="1" s="1"/>
  <c r="H45" i="1"/>
  <c r="E45" i="1"/>
  <c r="H37" i="1"/>
  <c r="E37" i="1"/>
  <c r="J24" i="1"/>
  <c r="K24" i="1"/>
  <c r="C28" i="3"/>
  <c r="C27" i="3"/>
  <c r="C26" i="3"/>
  <c r="C25" i="3"/>
  <c r="C24" i="3"/>
  <c r="C23" i="3"/>
  <c r="C4" i="3"/>
  <c r="C13" i="3"/>
  <c r="C12" i="3" s="1"/>
  <c r="C20" i="3" s="1"/>
  <c r="C22" i="3" l="1"/>
  <c r="C29" i="3" s="1"/>
  <c r="C21" i="3" s="1"/>
  <c r="C3" i="3"/>
  <c r="C11" i="3" s="1"/>
  <c r="M57" i="1"/>
  <c r="I60" i="1"/>
  <c r="I64" i="1"/>
  <c r="I66" i="1" s="1"/>
  <c r="K46" i="1"/>
  <c r="K41" i="1" s="1"/>
  <c r="M60" i="1"/>
  <c r="M61" i="1"/>
  <c r="E50" i="1"/>
  <c r="J50" i="1"/>
  <c r="K50" i="1"/>
  <c r="H50" i="1"/>
  <c r="L24" i="1"/>
  <c r="I24" i="1" s="1"/>
  <c r="M24" i="1" s="1"/>
  <c r="L30" i="1"/>
  <c r="L29" i="1" s="1"/>
  <c r="I93" i="1"/>
  <c r="M93" i="1" s="1"/>
  <c r="M64" i="1" l="1"/>
  <c r="I67" i="1"/>
  <c r="M67" i="1" s="1"/>
  <c r="M66" i="1"/>
  <c r="L45" i="1"/>
  <c r="L46" i="1"/>
  <c r="L41" i="1" s="1"/>
  <c r="I42" i="1"/>
  <c r="I30" i="1"/>
  <c r="I25" i="1"/>
  <c r="U22" i="2"/>
  <c r="P22" i="2"/>
  <c r="K22" i="2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A5" i="2"/>
  <c r="A6" i="2" s="1"/>
  <c r="A7" i="2" s="1"/>
  <c r="P23" i="2" l="1"/>
  <c r="I45" i="1"/>
  <c r="M45" i="1" s="1"/>
  <c r="O9" i="1"/>
  <c r="U23" i="2"/>
  <c r="I29" i="1"/>
  <c r="M42" i="1"/>
  <c r="I46" i="1"/>
  <c r="M46" i="1" s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G4" i="2"/>
  <c r="H4" i="2" s="1"/>
  <c r="L4" i="2" s="1"/>
  <c r="G5" i="2"/>
  <c r="H5" i="2" s="1"/>
  <c r="L5" i="2" s="1"/>
  <c r="A8" i="2"/>
  <c r="G7" i="2"/>
  <c r="H7" i="2" s="1"/>
  <c r="L7" i="2" s="1"/>
  <c r="K23" i="2"/>
  <c r="E38" i="1"/>
  <c r="E91" i="1"/>
  <c r="I41" i="1" l="1"/>
  <c r="M41" i="1" s="1"/>
  <c r="M7" i="2"/>
  <c r="Q7" i="2"/>
  <c r="V7" i="2" s="1"/>
  <c r="W7" i="2" s="1"/>
  <c r="M5" i="2"/>
  <c r="Q5" i="2"/>
  <c r="V5" i="2" s="1"/>
  <c r="G6" i="2"/>
  <c r="H6" i="2" s="1"/>
  <c r="L6" i="2" s="1"/>
  <c r="M4" i="2"/>
  <c r="Q4" i="2"/>
  <c r="V4" i="2" s="1"/>
  <c r="M37" i="1"/>
  <c r="M33" i="1"/>
  <c r="G8" i="2"/>
  <c r="H8" i="2" s="1"/>
  <c r="L8" i="2" s="1"/>
  <c r="A9" i="2"/>
  <c r="R4" i="2"/>
  <c r="J38" i="1"/>
  <c r="K38" i="1"/>
  <c r="L38" i="1"/>
  <c r="H38" i="1"/>
  <c r="R5" i="2" l="1"/>
  <c r="W5" i="2" s="1"/>
  <c r="R7" i="2"/>
  <c r="M6" i="2"/>
  <c r="Q6" i="2"/>
  <c r="V6" i="2" s="1"/>
  <c r="W6" i="2" s="1"/>
  <c r="M8" i="2"/>
  <c r="Q8" i="2"/>
  <c r="V8" i="2" s="1"/>
  <c r="A10" i="2"/>
  <c r="G9" i="2"/>
  <c r="H9" i="2" s="1"/>
  <c r="L9" i="2" s="1"/>
  <c r="W4" i="2"/>
  <c r="L91" i="1"/>
  <c r="K91" i="1"/>
  <c r="J91" i="1"/>
  <c r="I91" i="1"/>
  <c r="M91" i="1" s="1"/>
  <c r="H91" i="1"/>
  <c r="H87" i="1"/>
  <c r="L80" i="1"/>
  <c r="K80" i="1"/>
  <c r="J80" i="1"/>
  <c r="I80" i="1"/>
  <c r="M80" i="1" s="1"/>
  <c r="H80" i="1"/>
  <c r="L70" i="1"/>
  <c r="L62" i="1" s="1"/>
  <c r="K70" i="1"/>
  <c r="K62" i="1" s="1"/>
  <c r="J70" i="1"/>
  <c r="J62" i="1" s="1"/>
  <c r="L50" i="1"/>
  <c r="L37" i="1"/>
  <c r="J37" i="1"/>
  <c r="R8" i="2" l="1"/>
  <c r="W8" i="2" s="1"/>
  <c r="R6" i="2"/>
  <c r="M9" i="2"/>
  <c r="Q9" i="2"/>
  <c r="V9" i="2" s="1"/>
  <c r="W9" i="2" s="1"/>
  <c r="I62" i="1"/>
  <c r="M62" i="1" s="1"/>
  <c r="I87" i="1"/>
  <c r="M87" i="1" s="1"/>
  <c r="I38" i="1"/>
  <c r="M38" i="1" s="1"/>
  <c r="A11" i="2"/>
  <c r="G10" i="2"/>
  <c r="H10" i="2" s="1"/>
  <c r="L10" i="2" s="1"/>
  <c r="R9" i="2" l="1"/>
  <c r="M10" i="2"/>
  <c r="Q10" i="2"/>
  <c r="V10" i="2" s="1"/>
  <c r="W10" i="2" s="1"/>
  <c r="M51" i="1"/>
  <c r="I50" i="1"/>
  <c r="M50" i="1" s="1"/>
  <c r="A12" i="2"/>
  <c r="G11" i="2"/>
  <c r="H11" i="2" s="1"/>
  <c r="R10" i="2" l="1"/>
  <c r="G12" i="2"/>
  <c r="H12" i="2" s="1"/>
  <c r="L12" i="2" s="1"/>
  <c r="A13" i="2"/>
  <c r="L11" i="2"/>
  <c r="M11" i="2" l="1"/>
  <c r="Q11" i="2"/>
  <c r="V11" i="2" s="1"/>
  <c r="M12" i="2"/>
  <c r="R12" i="2" s="1"/>
  <c r="W12" i="2" s="1"/>
  <c r="Q12" i="2"/>
  <c r="V12" i="2" s="1"/>
  <c r="A14" i="2"/>
  <c r="G13" i="2"/>
  <c r="H13" i="2" s="1"/>
  <c r="L13" i="2" s="1"/>
  <c r="R11" i="2"/>
  <c r="M13" i="2" l="1"/>
  <c r="R13" i="2" s="1"/>
  <c r="W13" i="2" s="1"/>
  <c r="Q13" i="2"/>
  <c r="V13" i="2" s="1"/>
  <c r="W11" i="2"/>
  <c r="G14" i="2"/>
  <c r="H14" i="2" s="1"/>
  <c r="L14" i="2" s="1"/>
  <c r="A15" i="2"/>
  <c r="M14" i="2" l="1"/>
  <c r="Q14" i="2"/>
  <c r="V14" i="2" s="1"/>
  <c r="A16" i="2"/>
  <c r="G15" i="2"/>
  <c r="H15" i="2" s="1"/>
  <c r="L15" i="2" s="1"/>
  <c r="R14" i="2" l="1"/>
  <c r="W14" i="2" s="1"/>
  <c r="M15" i="2"/>
  <c r="Q15" i="2"/>
  <c r="V15" i="2" s="1"/>
  <c r="G16" i="2"/>
  <c r="H16" i="2" s="1"/>
  <c r="L16" i="2" s="1"/>
  <c r="A17" i="2"/>
  <c r="R15" i="2" l="1"/>
  <c r="W15" i="2" s="1"/>
  <c r="M16" i="2"/>
  <c r="Q16" i="2"/>
  <c r="V16" i="2" s="1"/>
  <c r="A18" i="2"/>
  <c r="G17" i="2"/>
  <c r="H17" i="2" s="1"/>
  <c r="L17" i="2" s="1"/>
  <c r="R16" i="2" l="1"/>
  <c r="W16" i="2" s="1"/>
  <c r="M17" i="2"/>
  <c r="Q17" i="2"/>
  <c r="V17" i="2" s="1"/>
  <c r="G18" i="2"/>
  <c r="H18" i="2" s="1"/>
  <c r="L18" i="2" s="1"/>
  <c r="A19" i="2"/>
  <c r="R17" i="2" l="1"/>
  <c r="W17" i="2" s="1"/>
  <c r="M18" i="2"/>
  <c r="Q18" i="2"/>
  <c r="V18" i="2" s="1"/>
  <c r="A20" i="2"/>
  <c r="G19" i="2"/>
  <c r="H19" i="2" s="1"/>
  <c r="L19" i="2" s="1"/>
  <c r="R18" i="2" l="1"/>
  <c r="W18" i="2" s="1"/>
  <c r="M19" i="2"/>
  <c r="Q19" i="2"/>
  <c r="V19" i="2" s="1"/>
  <c r="G20" i="2"/>
  <c r="H20" i="2" s="1"/>
  <c r="L20" i="2" s="1"/>
  <c r="A21" i="2"/>
  <c r="G21" i="2" s="1"/>
  <c r="H21" i="2" s="1"/>
  <c r="L21" i="2" s="1"/>
  <c r="R19" i="2" l="1"/>
  <c r="W19" i="2" s="1"/>
  <c r="M20" i="2"/>
  <c r="Q20" i="2"/>
  <c r="V20" i="2" s="1"/>
  <c r="M21" i="2"/>
  <c r="Q21" i="2"/>
  <c r="V21" i="2" s="1"/>
  <c r="R21" i="2" l="1"/>
  <c r="R20" i="2"/>
  <c r="W20" i="2" s="1"/>
  <c r="M22" i="2"/>
  <c r="R22" i="2"/>
  <c r="W21" i="2" l="1"/>
  <c r="W22" i="2" s="1"/>
  <c r="E16" i="1"/>
  <c r="E15" i="1" l="1"/>
  <c r="G16" i="1"/>
  <c r="E13" i="1"/>
  <c r="E95" i="1" s="1"/>
  <c r="H21" i="1"/>
  <c r="H16" i="1" s="1"/>
  <c r="H15" i="1" s="1"/>
  <c r="K21" i="1"/>
  <c r="L21" i="1"/>
  <c r="L16" i="1" s="1"/>
  <c r="L15" i="1" s="1"/>
  <c r="L13" i="1" l="1"/>
  <c r="L95" i="1" s="1"/>
  <c r="H13" i="1"/>
  <c r="H95" i="1" s="1"/>
  <c r="E103" i="1"/>
  <c r="E107" i="1" s="1"/>
  <c r="E96" i="1"/>
  <c r="I21" i="1"/>
  <c r="I23" i="1" s="1"/>
  <c r="K16" i="1"/>
  <c r="K15" i="1" s="1"/>
  <c r="M22" i="1"/>
  <c r="L102" i="1" l="1"/>
  <c r="L97" i="1" s="1"/>
  <c r="L96" i="1" s="1"/>
  <c r="K13" i="1"/>
  <c r="K95" i="1" s="1"/>
  <c r="H96" i="1"/>
  <c r="H103" i="1"/>
  <c r="H107" i="1" s="1"/>
  <c r="H110" i="1" s="1"/>
  <c r="M21" i="1"/>
  <c r="I16" i="1"/>
  <c r="M23" i="1"/>
  <c r="K102" i="1" l="1"/>
  <c r="K97" i="1" s="1"/>
  <c r="K96" i="1" s="1"/>
  <c r="L103" i="1"/>
  <c r="L107" i="1" s="1"/>
  <c r="M16" i="1"/>
  <c r="I15" i="1"/>
  <c r="I13" i="1" s="1"/>
  <c r="K103" i="1" l="1"/>
  <c r="K107" i="1" s="1"/>
  <c r="K110" i="1" s="1"/>
  <c r="M15" i="1"/>
  <c r="L110" i="1" l="1"/>
  <c r="M13" i="1"/>
  <c r="I95" i="1"/>
  <c r="I102" i="1" s="1"/>
  <c r="I97" i="1" s="1"/>
  <c r="I96" i="1" l="1"/>
  <c r="I103" i="1"/>
  <c r="I107" i="1" s="1"/>
  <c r="I110" i="1" s="1"/>
  <c r="J96" i="1"/>
  <c r="J110" i="1"/>
  <c r="J102" i="1"/>
  <c r="J97" i="1"/>
  <c r="J95" i="1"/>
  <c r="J103" i="1"/>
  <c r="J107" i="1"/>
  <c r="J22" i="1"/>
  <c r="J21" i="1"/>
  <c r="J16" i="1"/>
  <c r="J15" i="1"/>
  <c r="J13" i="1"/>
</calcChain>
</file>

<file path=xl/sharedStrings.xml><?xml version="1.0" encoding="utf-8"?>
<sst xmlns="http://schemas.openxmlformats.org/spreadsheetml/2006/main" count="916" uniqueCount="440">
  <si>
    <t>Расчет  валовой выручки , необходимой для осуществление питьевого водоснабжения</t>
  </si>
  <si>
    <t>Наименование показателей</t>
  </si>
  <si>
    <t>Заключение регулирующего органа, тыс. руб.</t>
  </si>
  <si>
    <t>с 01.07.2013 по 31.12.2013</t>
  </si>
  <si>
    <t>с 01.07.2014 по 31.12.2014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</si>
  <si>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</si>
  <si>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</si>
  <si>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</si>
  <si>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</si>
  <si>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</si>
  <si>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</si>
  <si>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</si>
  <si>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</si>
  <si>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НН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</si>
  <si>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</si>
  <si>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</si>
  <si>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</si>
  <si>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</si>
  <si>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</si>
  <si>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</si>
  <si>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</si>
  <si>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</si>
  <si>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покупную питьевую и техническую воду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</si>
  <si>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</si>
  <si>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</si>
  <si>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</si>
  <si>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</si>
  <si>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</si>
  <si>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</si>
  <si>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</si>
  <si>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</si>
  <si>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</si>
  <si>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</si>
  <si>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</si>
  <si>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</si>
  <si>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Разряды приняты в соответствии с ЕТКС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</si>
  <si>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</si>
  <si>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</si>
  <si>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</si>
  <si>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</si>
  <si>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</si>
  <si>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</si>
  <si>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</si>
  <si>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</si>
  <si>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</si>
  <si>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</si>
  <si>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</si>
  <si>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</si>
  <si>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</si>
  <si>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</si>
  <si>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</si>
  <si>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</si>
  <si>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</si>
  <si>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</si>
  <si>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</si>
  <si>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</si>
  <si>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</si>
  <si>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</si>
  <si>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приобретение (услуги) специализированного транспорта</t>
  </si>
  <si>
    <t>Расходы приняты из расчета 15 аварий вместо 30 запланированных (на цисцерну , на самосвал)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</si>
  <si>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</si>
  <si>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</si>
  <si>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</si>
  <si>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</si>
  <si>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</si>
  <si>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</si>
  <si>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</si>
  <si>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</si>
  <si>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</si>
  <si>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</si>
  <si>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</si>
  <si>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</si>
  <si>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</si>
  <si>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</si>
  <si>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</si>
  <si>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</si>
  <si>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</si>
  <si>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</si>
  <si>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</si>
  <si>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</si>
  <si>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</si>
  <si>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</si>
  <si>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</si>
  <si>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 xml:space="preserve"> на оплату труда прочего  персонала</t>
  </si>
  <si>
    <t>3.4.1.</t>
  </si>
  <si>
    <t>3.5.</t>
  </si>
  <si>
    <t>3.6.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</si>
  <si>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</si>
  <si>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</si>
  <si>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</si>
  <si>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</si>
  <si>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</si>
  <si>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</si>
  <si>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</si>
  <si>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</si>
  <si>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</si>
  <si>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</si>
  <si>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3.12.</t>
  </si>
  <si>
    <t>на проведение технических обследований централизованных систем водоснабжения</t>
  </si>
  <si>
    <t>3.13.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</si>
  <si>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</si>
  <si>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</si>
  <si>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</si>
  <si>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</si>
  <si>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</si>
  <si>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</si>
  <si>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</si>
  <si>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</si>
  <si>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</si>
  <si>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</si>
  <si>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</si>
  <si>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</si>
  <si>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</si>
  <si>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</si>
  <si>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</si>
  <si>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</si>
  <si>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</si>
  <si>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</si>
  <si>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</si>
  <si>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</si>
  <si>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</si>
  <si>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</si>
  <si>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</si>
  <si>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</si>
  <si>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</si>
  <si>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7.3.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</si>
  <si>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</si>
  <si>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</si>
  <si>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</si>
  <si>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</si>
  <si>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</si>
  <si>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</si>
  <si>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</si>
  <si>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</si>
  <si>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Налог на прибыль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</si>
  <si>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</si>
  <si>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</si>
  <si>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</si>
  <si>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</si>
  <si>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</si>
  <si>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Приложение к протоколу заседания  правления Региональной энергетической  комиссии от "___"__________2013г. №_____</t>
  </si>
  <si>
    <t>Заключение регулирующего органа на 2014 (с календарной разбивкой)</t>
  </si>
  <si>
    <t>УСН</t>
  </si>
  <si>
    <t>% роста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</si>
  <si>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</si>
  <si>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</si>
  <si>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</si>
  <si>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</si>
  <si>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</si>
  <si>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</si>
  <si>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</si>
  <si>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</si>
  <si>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</si>
  <si>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</si>
  <si>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</si>
  <si>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</si>
  <si>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</si>
  <si>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</si>
  <si>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</si>
  <si>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</si>
  <si>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</si>
  <si>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Наименование муниципального образования</t>
  </si>
  <si>
    <t>Объем водопотребления</t>
  </si>
  <si>
    <t>Терский сельсовет</t>
  </si>
  <si>
    <t>Населению, всего, в.ч.:</t>
  </si>
  <si>
    <t>1.1.1.</t>
  </si>
  <si>
    <t>хоз-питьевые</t>
  </si>
  <si>
    <t>1.1.2.</t>
  </si>
  <si>
    <t>полив преусадебных участков</t>
  </si>
  <si>
    <t>1.1.3.</t>
  </si>
  <si>
    <t>содержание домашних животных</t>
  </si>
  <si>
    <t>бюджетным организациям</t>
  </si>
  <si>
    <t>собственные нужды</t>
  </si>
  <si>
    <t>прочие потребители</t>
  </si>
  <si>
    <t>ИТОГО</t>
  </si>
  <si>
    <t>Мокрушенский сельсовет</t>
  </si>
  <si>
    <t>ИТОГО ООО "Коммунальщик Канского района"</t>
  </si>
  <si>
    <t>Объем реализации ООО "Коммунальщик Канского района"</t>
  </si>
  <si>
    <t>электроэнергия основное производство</t>
  </si>
  <si>
    <t>1.3.1.</t>
  </si>
  <si>
    <t>1.3.2.</t>
  </si>
  <si>
    <t>1.3.3.</t>
  </si>
  <si>
    <t>1.3.4.</t>
  </si>
  <si>
    <t>1.6.1.</t>
  </si>
  <si>
    <t>1.6.2.</t>
  </si>
  <si>
    <t>3.2.2.</t>
  </si>
  <si>
    <t>5.1.</t>
  </si>
  <si>
    <t>Тариф на 2 период 2013 года, руб/м3</t>
  </si>
  <si>
    <t>охрана труда (спецпитание, моющие средства, спецодежда)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</si>
  <si>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</si>
  <si>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</si>
  <si>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</si>
  <si>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</si>
  <si>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</si>
  <si>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</si>
  <si>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</si>
  <si>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</si>
  <si>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</si>
  <si>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12.</t>
  </si>
  <si>
    <t>План предыдущего периода регулирования 2012г., тыс. руб.</t>
  </si>
  <si>
    <t>Факт предыдущего периода регулирования 2012г., тыс. руб.</t>
  </si>
  <si>
    <t>План текущего периода регулирования 2013г., тыс. руб.</t>
  </si>
  <si>
    <t>План регулируемого периода 2014г., тыс. руб.</t>
  </si>
  <si>
    <t>Объем подачи  (реализации воды) всего, тыс.м3</t>
  </si>
  <si>
    <t>11.1.</t>
  </si>
  <si>
    <t>11.2.</t>
  </si>
  <si>
    <t>объем подачи воды абонентам (тыс.м3)</t>
  </si>
  <si>
    <t>на собственное производство (тыс.м3)</t>
  </si>
  <si>
    <t>Средства на возврат займов и кредитов, проценты по займам и кридитам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</si>
  <si>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</si>
  <si>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Другие расходы</t>
  </si>
  <si>
    <t>Единый налог, уплачиваемый организацией, применяющей упрощенную систему налогообложения</t>
  </si>
  <si>
    <t>Показатель (группы потребителей)</t>
  </si>
  <si>
    <t>Тарифы</t>
  </si>
  <si>
    <t>1.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</si>
  <si>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</si>
  <si>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</si>
  <si>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</si>
  <si>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</si>
  <si>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</si>
  <si>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</si>
  <si>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</si>
  <si>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</si>
  <si>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</si>
  <si>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</si>
  <si>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</si>
  <si>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</si>
  <si>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</si>
  <si>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</si>
  <si>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</si>
  <si>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</si>
  <si>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</si>
  <si>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</si>
  <si>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</si>
  <si>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</si>
  <si>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</si>
  <si>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</si>
  <si>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</si>
  <si>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</si>
  <si>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</si>
  <si>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%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</si>
  <si>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</si>
  <si>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</si>
  <si>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</si>
  <si>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</si>
  <si>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</si>
  <si>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</si>
  <si>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</si>
  <si>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</si>
  <si>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</si>
  <si>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</si>
  <si>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</si>
  <si>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</si>
  <si>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</si>
  <si>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</si>
  <si>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</si>
  <si>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электроэнергия основное производство по диапозону напряжения СН-2</t>
  </si>
  <si>
    <t>электроэнергия (отопление, освещение) по диапозону напряжения СН-2</t>
  </si>
  <si>
    <t>1.6..</t>
  </si>
  <si>
    <t>с 01.11.2013 по 30.06.2014</t>
  </si>
  <si>
    <t>Индексаня иодель</t>
  </si>
  <si>
    <t>Обеззараживание воды производится для поверхностного водозабора из р. Кан для водоснабжения с. Таежное хлорной известью</t>
  </si>
  <si>
    <t>РАСЧЕТ ЭЛЕКТРОЭНЕРГИИ</t>
  </si>
  <si>
    <t>Наименование оборудования</t>
  </si>
  <si>
    <t>Мощность, кВт</t>
  </si>
  <si>
    <t xml:space="preserve">Количество едениц </t>
  </si>
  <si>
    <t>Всего мощность, кВт</t>
  </si>
  <si>
    <t>КПД</t>
  </si>
  <si>
    <t>Расчетная мощность, кВт</t>
  </si>
  <si>
    <t>Производительность , куб.м/час</t>
  </si>
  <si>
    <t>Режим работы</t>
  </si>
  <si>
    <t>Расход электроэнергии</t>
  </si>
  <si>
    <t>в том числе</t>
  </si>
  <si>
    <t>в том числе по уровням напряжения, кВт</t>
  </si>
  <si>
    <t>в работе</t>
  </si>
  <si>
    <t>в резерве</t>
  </si>
  <si>
    <t>часов в сутки</t>
  </si>
  <si>
    <t>дней в году</t>
  </si>
  <si>
    <t>на подъем</t>
  </si>
  <si>
    <t>на транспортировку</t>
  </si>
  <si>
    <t>НН</t>
  </si>
  <si>
    <t>СН2</t>
  </si>
  <si>
    <t>тариф</t>
  </si>
  <si>
    <t>Станция 1го подъема</t>
  </si>
  <si>
    <t>Насос ЦНС 60-180</t>
  </si>
  <si>
    <t>расходы на электроэнергию</t>
  </si>
  <si>
    <t>цеховые</t>
  </si>
  <si>
    <t>Насос вакуумный ВН-12</t>
  </si>
  <si>
    <t>Итого:</t>
  </si>
  <si>
    <t>объем поднимаемой в м3/сут</t>
  </si>
  <si>
    <t>Станция 2 го подъема</t>
  </si>
  <si>
    <t>Насос ЦНС 38-175</t>
  </si>
  <si>
    <t>Насос ЦНС 38-158</t>
  </si>
  <si>
    <t>Всего:</t>
  </si>
  <si>
    <t>Освещение</t>
  </si>
  <si>
    <t>Отопление</t>
  </si>
  <si>
    <t>ВОДНЫЙ НАЛОГ</t>
  </si>
  <si>
    <t>поверхностный</t>
  </si>
  <si>
    <t>подземный</t>
  </si>
  <si>
    <t>для населения</t>
  </si>
  <si>
    <t>Общий объем потребления электроэнергии по диапозону напряжения СН2 составляет 38,820 тыс. кВт.ч. (на 14 месяцев объем потребления составляет 45,29 тыс. кВт.ч.), средневзвешенный тариф составит 2,657руб./кВт.ч. (с учетом НДС) С 01.07.2014г. применен индекс-дефлятор 1,075</t>
  </si>
  <si>
    <t>Общий объем потребления электроэнергии по диапозону напряжения СН2 составляет 19,368 тыс. кВт.ч. (на 14 месяцев объем потребления составляет 22,596 тыс. кВт.ч.), средневзвешенныйтариф составит 2,657 руб./кВт.ч. (с учетом НДС) С 01.07.2014г. применен индекс-дефлятор 1,075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</si>
  <si>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1,4,  северная и районная надбавка 1,6, доплата стимулирующего характера 1,125</t>
  </si>
  <si>
    <t>Слесарь аварийно восстановительных работ-1 ед., 3 разряд; электрогазосварщик-1 ед; 4разряд (слесарь-ремонтник перенесен в основной производственный персонал)</t>
  </si>
  <si>
    <t>Машинист насосных установок-3 ед, 3 разряд; машинист насосных установок - 2 ед., 2 разряда; электромонтер по ремонту оборудования-1ед, 4 разряд; слесарь-ремонтник-1ед, 2 разряд (перенесен из ремонтного персонала). Исключен машинист насосных установок - 2ед., 3 разряда в связи с необоснованностью включения в расчет финансовых потребностей ("Рекомендации по нормированию труда работников ВКХ" утвержденных Приказом Госстроя России от 22.03.1999г. №66)</t>
  </si>
  <si>
    <t xml:space="preserve">ст. 58.2, Федеральный закон от 24.07.2009  № 212-ФЗ (ред. от 03.12.2011)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страхования"; Уведомление о размере страховых взносов на обязательное социальное страхование от несчастных случаев на производстве и профессиональных заболеваний </t>
  </si>
  <si>
    <t xml:space="preserve">Техник-0,5ед, 6 разряд;контролер водопроводного хозяйства-0,5ед., 3 разряд (снижена численность техника, нормативная численность доведена до нормативной, согласно "Рекомендаций по нормированию  труда работников ВКХ" утвержденных Приказом Госстроя России от 22.03.1999г. № 66) 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</si>
  <si>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1,3,  северная и районная надбавка 1,6, доплата стимулирующего характера 1,125</t>
  </si>
  <si>
    <t>охрана труда (моющие средства, спецодежда)</t>
  </si>
  <si>
    <t>Включены обоснованные затраты на покупку материалов на сумму 5,48 тыс. руб (покупка задвижек на сумму 55,9 тыс. руб исключены, т.к. является капитальным ремонтом)</t>
  </si>
  <si>
    <t xml:space="preserve">Согласно приказа от 01.01.2013г. № 11-1-ор "Об утверждении учетной политики для целей бухгалтерского учета" общеэксплуатационные расходы распределять пропорционально заработной платы основных рабочих (на услуги водоснабжения 17%) 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</si>
  <si>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</si>
  <si>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</si>
  <si>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</si>
  <si>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</si>
  <si>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</si>
  <si>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</si>
  <si>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</si>
  <si>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</si>
  <si>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</si>
  <si>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</si>
  <si>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</si>
  <si>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</si>
  <si>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</si>
  <si>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</si>
  <si>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</si>
  <si>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</si>
  <si>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</si>
  <si>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</si>
  <si>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</si>
  <si>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</si>
  <si>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</si>
  <si>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</si>
  <si>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</si>
  <si>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>РАСЧЕТ</t>
  </si>
  <si>
    <t xml:space="preserve"> водного налога на 2014 год</t>
  </si>
  <si>
    <t>Объём забранной воды,                        тыс. куб. м</t>
  </si>
  <si>
    <t>Налоговые ставки*, руб. за 1,0 тыс. куб. м</t>
  </si>
  <si>
    <t>Водный налог, 
тыс. руб.</t>
  </si>
  <si>
    <t>Водозабор из поверхностных водных объектов</t>
  </si>
  <si>
    <t>1.1</t>
  </si>
  <si>
    <t>для водоснабжения населения</t>
  </si>
  <si>
    <t>1.2</t>
  </si>
  <si>
    <t>для водоснабжения бюджетных организаций и прочих потребителей</t>
  </si>
  <si>
    <t>Всего</t>
  </si>
  <si>
    <t>Итого</t>
  </si>
  <si>
    <t>Примечание*: статья 333.12 НК РФ,  бассейн реки Енисей</t>
  </si>
  <si>
    <t>Главный бухгалтер</t>
  </si>
  <si>
    <t>________________________</t>
  </si>
  <si>
    <t>И.С. Гузун</t>
  </si>
  <si>
    <t>(подпись)</t>
  </si>
  <si>
    <t xml:space="preserve"> водного налога на 2013 - 2014 год</t>
  </si>
  <si>
    <t>О.В.Макеева</t>
  </si>
  <si>
    <t>Предприятием неверно произведен расчет, объем поднимаемой воды 27,292 тыс. м3, 11,69 тыс.м3 -население,  (11,69*70=0,82руб), (14,447*246=3,55руб) итого водный налог составит 4,37 тыс. руб.Расчет произведен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</si>
  <si>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</si>
  <si>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</si>
  <si>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</si>
  <si>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</si>
  <si>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шт</t>
  </si>
  <si>
    <t>тыс.м3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</si>
  <si>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</si>
  <si>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</si>
  <si>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</si>
  <si>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</si>
  <si>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кг/м3 (л/м3)</t>
  </si>
  <si>
    <t>Индексы на роста цен на энергетические ресурсы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</si>
  <si>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</si>
  <si>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</si>
  <si>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</si>
  <si>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</si>
  <si>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</si>
  <si>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</si>
  <si>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</si>
  <si>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</si>
  <si>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</si>
  <si>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</si>
  <si>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</si>
  <si>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</si>
  <si>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</si>
  <si>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</si>
  <si>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</si>
  <si>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</si>
  <si>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</si>
  <si>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</si>
  <si>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</si>
  <si>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</si>
  <si>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 xml:space="preserve">Факт </t>
  </si>
  <si>
    <t xml:space="preserve">План 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</si>
  <si>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</si>
  <si>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</si>
  <si>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</si>
  <si>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</si>
  <si>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</si>
  <si>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</si>
  <si>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</si>
  <si>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</si>
  <si>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</si>
  <si>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</si>
  <si>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</si>
  <si>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</si>
  <si>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</si>
  <si>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</si>
  <si>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</si>
  <si>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</si>
  <si>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</si>
  <si>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</si>
  <si>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</si>
  <si>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</si>
  <si>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</si>
  <si>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Согласно договора с ФБУЗ "Центр гигиены и эпидемиологии в красноярском крае" от 10.04.2013 г. № 119/2 сумма составляет 84,77 тыс.руб.</t>
  </si>
  <si>
    <t>и  обеспечения достижения целевых показателей деятельности  ООО "Таежное" и расчет тарифа на 2013-2014 гг.</t>
  </si>
  <si>
    <t xml:space="preserve">                                                                        Канский район, с. Таежное, ул.Новая, 4</t>
  </si>
  <si>
    <t xml:space="preserve">                                                     Тариф действует на территории следующих муниципальных образований: Таеженское</t>
  </si>
  <si>
    <t>Затраты приняты на уровне прошлого периода регулирования в связи с отсутствием расчета арендной платы, отсутствием конкурсной документации и обоснованием увеличения стоимости арендной платы муниципального имущества (затраты по арендной плате принятына срок действия договора до 25.03.2014г)</t>
  </si>
  <si>
    <t xml:space="preserve"> 2014 год</t>
  </si>
  <si>
    <t>12.1.</t>
  </si>
  <si>
    <t>Норматив технологических  затрат химреагентов (хлорная известь)</t>
  </si>
  <si>
    <t xml:space="preserve">15.1. </t>
  </si>
  <si>
    <t>15.2.</t>
  </si>
  <si>
    <t>2014 год</t>
  </si>
  <si>
    <t>с 01.01.2014 по 30.06.2014</t>
  </si>
  <si>
    <t>Количество канализационных насосных станций</t>
  </si>
  <si>
    <t xml:space="preserve">Количество очистных сооружений </t>
  </si>
  <si>
    <t xml:space="preserve">Пропущено сточных вод всего (реализация), в т.ч. </t>
  </si>
  <si>
    <t>от населения</t>
  </si>
  <si>
    <t>от бюджетныч организаций</t>
  </si>
  <si>
    <t>от прочих потребителей</t>
  </si>
  <si>
    <t>Пропущено сточных вод через очистные сооружения</t>
  </si>
  <si>
    <t>в том числе принято на очистку от других систем водоотведения</t>
  </si>
  <si>
    <t>на транспортировку сточных вод</t>
  </si>
  <si>
    <t>Общая протяженность канализационных сетей</t>
  </si>
  <si>
    <t>муниципального унитарного предприятия «Жилищно-коммунальный сервис»  (Емельяновский район, с. Шуваево ИНН 2411016628)</t>
  </si>
  <si>
    <t>Приложение № 1 к экспертному заключению по делу № 18-13в</t>
  </si>
  <si>
    <t>Приложение № 2 к экспертному заключению по делу № 18-13в</t>
  </si>
  <si>
    <t>Приложение № 4 к экспертному заключению по делу № 18-13в</t>
  </si>
  <si>
    <t>Водоотведение</t>
  </si>
  <si>
    <t>Тарифы на водоотведение сточных вод для потребителей муниципального унитарного предприятия «Жилищно-коммунальный сервис»  (Емельяновский район, с. Шуваево ИНН 2411016628)</t>
  </si>
  <si>
    <t>Приложение № 7 к экспертному заключению по делу № 18-13в</t>
  </si>
  <si>
    <t>Приложение № 3 к экспертному заключению по делу № 18-13в</t>
  </si>
  <si>
    <t>Величина прибыли, необходимой для эффективного функционирования  муниципального унитарного предприятия «Жилищно-коммунальный сервис»  (Емельяновский район, с. Шуваево ИНН 2411016628)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</si>
</sst>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0.000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color rgb="FF00B0F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color indexed="1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8" fillId="0" borderId="0"/>
  </cellStyleXfs>
  <cellXfs count="380">
    <xf numFmtId="0" fontId="0" fillId="0" borderId="0" xfId="0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3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5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6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164" fontId="1" fillId="5" borderId="4" xfId="0" applyNumberFormat="1" applyFont="1" applyFill="1" applyBorder="1"/>
    <xf numFmtId="0" fontId="0" fillId="0" borderId="12" xfId="0" applyBorder="1"/>
    <xf numFmtId="0" fontId="1" fillId="6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6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1" xfId="0" applyBorder="1"/>
    <xf numFmtId="2" fontId="1" fillId="0" borderId="14" xfId="0" applyNumberFormat="1" applyFont="1" applyFill="1" applyBorder="1"/>
    <xf numFmtId="0" fontId="0" fillId="0" borderId="15" xfId="0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/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/>
    <xf numFmtId="49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wrapText="1"/>
    </xf>
    <xf numFmtId="0" fontId="30" fillId="0" borderId="1" xfId="2" applyFont="1" applyBorder="1" applyAlignment="1">
      <alignment wrapText="1"/>
    </xf>
    <xf numFmtId="164" fontId="30" fillId="0" borderId="1" xfId="0" applyNumberFormat="1" applyFont="1" applyBorder="1" applyAlignment="1">
      <alignment vertical="center" wrapText="1"/>
    </xf>
    <xf numFmtId="0" fontId="30" fillId="0" borderId="0" xfId="3" applyFont="1"/>
    <xf numFmtId="0" fontId="30" fillId="0" borderId="0" xfId="3" applyFont="1" applyAlignment="1">
      <alignment horizontal="center"/>
    </xf>
    <xf numFmtId="0" fontId="31" fillId="0" borderId="0" xfId="3" applyFont="1" applyFill="1" applyAlignment="1"/>
    <xf numFmtId="0" fontId="31" fillId="0" borderId="0" xfId="3" applyFont="1"/>
    <xf numFmtId="0" fontId="31" fillId="0" borderId="0" xfId="3" applyFont="1" applyAlignment="1">
      <alignment horizontal="center"/>
    </xf>
    <xf numFmtId="0" fontId="30" fillId="0" borderId="0" xfId="3" applyFont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/>
    </xf>
    <xf numFmtId="165" fontId="7" fillId="0" borderId="18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1" fillId="0" borderId="0" xfId="0" applyFont="1" applyAlignment="1"/>
    <xf numFmtId="0" fontId="22" fillId="0" borderId="10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3" fillId="0" borderId="0" xfId="4" applyAlignment="1">
      <alignment wrapText="1"/>
    </xf>
    <xf numFmtId="0" fontId="31" fillId="0" borderId="0" xfId="4" applyFont="1" applyAlignment="1">
      <alignment wrapText="1"/>
    </xf>
    <xf numFmtId="0" fontId="35" fillId="0" borderId="0" xfId="4" applyFont="1" applyAlignment="1">
      <alignment wrapText="1"/>
    </xf>
    <xf numFmtId="0" fontId="31" fillId="0" borderId="0" xfId="4" applyFont="1" applyAlignment="1">
      <alignment horizontal="right" wrapText="1"/>
    </xf>
    <xf numFmtId="0" fontId="36" fillId="0" borderId="0" xfId="4" applyFont="1" applyAlignment="1">
      <alignment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4" applyFont="1" applyBorder="1" applyAlignment="1">
      <alignment vertical="center" wrapText="1"/>
    </xf>
    <xf numFmtId="2" fontId="30" fillId="0" borderId="1" xfId="4" applyNumberFormat="1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36" fillId="0" borderId="0" xfId="0" applyFont="1"/>
    <xf numFmtId="0" fontId="22" fillId="13" borderId="0" xfId="0" applyFont="1" applyFill="1"/>
    <xf numFmtId="0" fontId="7" fillId="0" borderId="0" xfId="0" applyFont="1"/>
    <xf numFmtId="0" fontId="37" fillId="0" borderId="2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7" fillId="1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/>
    <xf numFmtId="0" fontId="1" fillId="0" borderId="0" xfId="0" applyFont="1"/>
    <xf numFmtId="0" fontId="1" fillId="13" borderId="0" xfId="0" applyFont="1" applyFill="1"/>
    <xf numFmtId="0" fontId="8" fillId="1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38" fillId="0" borderId="0" xfId="5"/>
    <xf numFmtId="0" fontId="38" fillId="0" borderId="0" xfId="5" applyAlignment="1">
      <alignment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2" fontId="5" fillId="0" borderId="0" xfId="0" applyNumberFormat="1" applyFont="1" applyFill="1"/>
    <xf numFmtId="2" fontId="11" fillId="0" borderId="0" xfId="0" applyNumberFormat="1" applyFont="1"/>
    <xf numFmtId="0" fontId="0" fillId="2" borderId="0" xfId="0" applyFill="1"/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13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2" fontId="30" fillId="0" borderId="1" xfId="4" applyNumberFormat="1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0" xfId="0" applyFont="1"/>
    <xf numFmtId="0" fontId="35" fillId="0" borderId="0" xfId="0" applyFont="1"/>
    <xf numFmtId="0" fontId="30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3" applyFont="1" applyFill="1" applyAlignment="1">
      <alignment horizontal="left" vertical="center" wrapText="1"/>
    </xf>
    <xf numFmtId="0" fontId="31" fillId="0" borderId="0" xfId="3" applyFont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0" xfId="4" applyFont="1" applyAlignment="1">
      <alignment horizontal="left" wrapText="1"/>
    </xf>
    <xf numFmtId="0" fontId="31" fillId="0" borderId="0" xfId="4" applyFont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5" applyFont="1" applyAlignment="1">
      <alignment horizontal="justify" vertical="center" wrapText="1"/>
    </xf>
    <xf numFmtId="0" fontId="20" fillId="0" borderId="0" xfId="5" applyFont="1" applyAlignment="1">
      <alignment horizontal="left" wrapText="1"/>
    </xf>
    <xf numFmtId="0" fontId="20" fillId="0" borderId="0" xfId="5" applyFont="1" applyAlignment="1">
      <alignment horizontal="center" vertical="center" wrapText="1"/>
    </xf>
    <xf numFmtId="2" fontId="1" fillId="5" borderId="5" xfId="0" applyNumberFormat="1" applyFont="1" applyFill="1" applyBorder="1" applyAlignment="1"/>
    <xf numFmtId="0" fontId="1" fillId="11" borderId="1" xfId="0" applyFont="1" applyFill="1" applyBorder="1" applyAlignment="1"/>
    <xf numFmtId="2" fontId="1" fillId="3" borderId="1" xfId="0" applyNumberFormat="1" applyFont="1" applyFill="1" applyBorder="1" applyAlignment="1"/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" xfId="0" applyFont="1" applyBorder="1" applyAlignment="1"/>
    <xf numFmtId="2" fontId="1" fillId="4" borderId="1" xfId="0" applyNumberFormat="1" applyFont="1" applyFill="1" applyBorder="1" applyAlignment="1"/>
    <xf numFmtId="0" fontId="24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opLeftCell="A10" zoomScale="80" zoomScaleNormal="80" zoomScaleSheetLayoutView="115" workbookViewId="0">
      <pane xSplit="2" ySplit="3" topLeftCell="D13" activePane="bottomRight" state="frozen"/>
      <selection activeCell="A10" sqref="A10"/>
      <selection pane="topRight" activeCell="C10" sqref="C10"/>
      <selection pane="bottomLeft" activeCell="A13" sqref="A13"/>
      <selection pane="bottomRight" activeCell="N21" sqref="N21"/>
    </sheetView>
  </sheetViews>
  <sheetFormatPr defaultRowHeight="15" outlineLevelRow="1" x14ac:dyDescent="0.25"/>
  <cols>
    <col min="1" max="1" width="9.28515625" customWidth="1"/>
    <col min="2" max="2" width="41.7109375" customWidth="1"/>
    <col min="3" max="3" width="15.28515625" style="83" customWidth="1"/>
    <col min="4" max="4" width="15.7109375" style="83" customWidth="1"/>
    <col min="5" max="5" width="15.5703125" style="83" customWidth="1"/>
    <col min="6" max="7" width="15.5703125" style="83" hidden="1" customWidth="1"/>
    <col min="8" max="8" width="16" style="83" customWidth="1"/>
    <col min="9" max="9" width="14.140625" style="83" customWidth="1"/>
    <col min="10" max="10" width="17.85546875" style="83" hidden="1" customWidth="1"/>
    <col min="11" max="11" width="14.7109375" style="83" customWidth="1"/>
    <col min="12" max="12" width="14" style="83" customWidth="1"/>
    <col min="13" max="13" width="7.140625" style="83" hidden="1" customWidth="1"/>
    <col min="14" max="14" width="88.85546875" customWidth="1"/>
    <col min="15" max="15" width="9.140625" hidden="1" customWidth="1"/>
    <col min="16" max="16" width="9.5703125" customWidth="1"/>
    <col min="17" max="24" width="9.140625" customWidth="1"/>
    <col min="262" max="262" width="8.42578125" customWidth="1"/>
    <col min="263" max="263" width="44.5703125" customWidth="1"/>
    <col min="264" max="264" width="16" customWidth="1"/>
    <col min="265" max="265" width="18.5703125" customWidth="1"/>
    <col min="266" max="266" width="17.85546875" customWidth="1"/>
    <col min="267" max="267" width="19.42578125" customWidth="1"/>
    <col min="268" max="268" width="18.5703125" customWidth="1"/>
    <col min="269" max="269" width="0" hidden="1" customWidth="1"/>
    <col min="270" max="270" width="88.85546875" customWidth="1"/>
    <col min="518" max="518" width="8.42578125" customWidth="1"/>
    <col min="519" max="519" width="44.5703125" customWidth="1"/>
    <col min="520" max="520" width="16" customWidth="1"/>
    <col min="521" max="521" width="18.5703125" customWidth="1"/>
    <col min="522" max="522" width="17.85546875" customWidth="1"/>
    <col min="523" max="523" width="19.42578125" customWidth="1"/>
    <col min="524" max="524" width="18.5703125" customWidth="1"/>
    <col min="525" max="525" width="0" hidden="1" customWidth="1"/>
    <col min="526" max="526" width="88.85546875" customWidth="1"/>
    <col min="774" max="774" width="8.42578125" customWidth="1"/>
    <col min="775" max="775" width="44.5703125" customWidth="1"/>
    <col min="776" max="776" width="16" customWidth="1"/>
    <col min="777" max="777" width="18.5703125" customWidth="1"/>
    <col min="778" max="778" width="17.85546875" customWidth="1"/>
    <col min="779" max="779" width="19.42578125" customWidth="1"/>
    <col min="780" max="780" width="18.5703125" customWidth="1"/>
    <col min="781" max="781" width="0" hidden="1" customWidth="1"/>
    <col min="782" max="782" width="88.85546875" customWidth="1"/>
    <col min="1030" max="1030" width="8.42578125" customWidth="1"/>
    <col min="1031" max="1031" width="44.5703125" customWidth="1"/>
    <col min="1032" max="1032" width="16" customWidth="1"/>
    <col min="1033" max="1033" width="18.5703125" customWidth="1"/>
    <col min="1034" max="1034" width="17.85546875" customWidth="1"/>
    <col min="1035" max="1035" width="19.42578125" customWidth="1"/>
    <col min="1036" max="1036" width="18.5703125" customWidth="1"/>
    <col min="1037" max="1037" width="0" hidden="1" customWidth="1"/>
    <col min="1038" max="1038" width="88.85546875" customWidth="1"/>
    <col min="1286" max="1286" width="8.42578125" customWidth="1"/>
    <col min="1287" max="1287" width="44.5703125" customWidth="1"/>
    <col min="1288" max="1288" width="16" customWidth="1"/>
    <col min="1289" max="1289" width="18.5703125" customWidth="1"/>
    <col min="1290" max="1290" width="17.85546875" customWidth="1"/>
    <col min="1291" max="1291" width="19.42578125" customWidth="1"/>
    <col min="1292" max="1292" width="18.5703125" customWidth="1"/>
    <col min="1293" max="1293" width="0" hidden="1" customWidth="1"/>
    <col min="1294" max="1294" width="88.85546875" customWidth="1"/>
    <col min="1542" max="1542" width="8.42578125" customWidth="1"/>
    <col min="1543" max="1543" width="44.5703125" customWidth="1"/>
    <col min="1544" max="1544" width="16" customWidth="1"/>
    <col min="1545" max="1545" width="18.5703125" customWidth="1"/>
    <col min="1546" max="1546" width="17.85546875" customWidth="1"/>
    <col min="1547" max="1547" width="19.42578125" customWidth="1"/>
    <col min="1548" max="1548" width="18.5703125" customWidth="1"/>
    <col min="1549" max="1549" width="0" hidden="1" customWidth="1"/>
    <col min="1550" max="1550" width="88.85546875" customWidth="1"/>
    <col min="1798" max="1798" width="8.42578125" customWidth="1"/>
    <col min="1799" max="1799" width="44.5703125" customWidth="1"/>
    <col min="1800" max="1800" width="16" customWidth="1"/>
    <col min="1801" max="1801" width="18.5703125" customWidth="1"/>
    <col min="1802" max="1802" width="17.85546875" customWidth="1"/>
    <col min="1803" max="1803" width="19.42578125" customWidth="1"/>
    <col min="1804" max="1804" width="18.5703125" customWidth="1"/>
    <col min="1805" max="1805" width="0" hidden="1" customWidth="1"/>
    <col min="1806" max="1806" width="88.85546875" customWidth="1"/>
    <col min="2054" max="2054" width="8.42578125" customWidth="1"/>
    <col min="2055" max="2055" width="44.5703125" customWidth="1"/>
    <col min="2056" max="2056" width="16" customWidth="1"/>
    <col min="2057" max="2057" width="18.5703125" customWidth="1"/>
    <col min="2058" max="2058" width="17.85546875" customWidth="1"/>
    <col min="2059" max="2059" width="19.42578125" customWidth="1"/>
    <col min="2060" max="2060" width="18.5703125" customWidth="1"/>
    <col min="2061" max="2061" width="0" hidden="1" customWidth="1"/>
    <col min="2062" max="2062" width="88.85546875" customWidth="1"/>
    <col min="2310" max="2310" width="8.42578125" customWidth="1"/>
    <col min="2311" max="2311" width="44.5703125" customWidth="1"/>
    <col min="2312" max="2312" width="16" customWidth="1"/>
    <col min="2313" max="2313" width="18.5703125" customWidth="1"/>
    <col min="2314" max="2314" width="17.85546875" customWidth="1"/>
    <col min="2315" max="2315" width="19.42578125" customWidth="1"/>
    <col min="2316" max="2316" width="18.5703125" customWidth="1"/>
    <col min="2317" max="2317" width="0" hidden="1" customWidth="1"/>
    <col min="2318" max="2318" width="88.85546875" customWidth="1"/>
    <col min="2566" max="2566" width="8.42578125" customWidth="1"/>
    <col min="2567" max="2567" width="44.5703125" customWidth="1"/>
    <col min="2568" max="2568" width="16" customWidth="1"/>
    <col min="2569" max="2569" width="18.5703125" customWidth="1"/>
    <col min="2570" max="2570" width="17.85546875" customWidth="1"/>
    <col min="2571" max="2571" width="19.42578125" customWidth="1"/>
    <col min="2572" max="2572" width="18.5703125" customWidth="1"/>
    <col min="2573" max="2573" width="0" hidden="1" customWidth="1"/>
    <col min="2574" max="2574" width="88.85546875" customWidth="1"/>
    <col min="2822" max="2822" width="8.42578125" customWidth="1"/>
    <col min="2823" max="2823" width="44.5703125" customWidth="1"/>
    <col min="2824" max="2824" width="16" customWidth="1"/>
    <col min="2825" max="2825" width="18.5703125" customWidth="1"/>
    <col min="2826" max="2826" width="17.85546875" customWidth="1"/>
    <col min="2827" max="2827" width="19.42578125" customWidth="1"/>
    <col min="2828" max="2828" width="18.5703125" customWidth="1"/>
    <col min="2829" max="2829" width="0" hidden="1" customWidth="1"/>
    <col min="2830" max="2830" width="88.85546875" customWidth="1"/>
    <col min="3078" max="3078" width="8.42578125" customWidth="1"/>
    <col min="3079" max="3079" width="44.5703125" customWidth="1"/>
    <col min="3080" max="3080" width="16" customWidth="1"/>
    <col min="3081" max="3081" width="18.5703125" customWidth="1"/>
    <col min="3082" max="3082" width="17.85546875" customWidth="1"/>
    <col min="3083" max="3083" width="19.42578125" customWidth="1"/>
    <col min="3084" max="3084" width="18.5703125" customWidth="1"/>
    <col min="3085" max="3085" width="0" hidden="1" customWidth="1"/>
    <col min="3086" max="3086" width="88.85546875" customWidth="1"/>
    <col min="3334" max="3334" width="8.42578125" customWidth="1"/>
    <col min="3335" max="3335" width="44.5703125" customWidth="1"/>
    <col min="3336" max="3336" width="16" customWidth="1"/>
    <col min="3337" max="3337" width="18.5703125" customWidth="1"/>
    <col min="3338" max="3338" width="17.85546875" customWidth="1"/>
    <col min="3339" max="3339" width="19.42578125" customWidth="1"/>
    <col min="3340" max="3340" width="18.5703125" customWidth="1"/>
    <col min="3341" max="3341" width="0" hidden="1" customWidth="1"/>
    <col min="3342" max="3342" width="88.85546875" customWidth="1"/>
    <col min="3590" max="3590" width="8.42578125" customWidth="1"/>
    <col min="3591" max="3591" width="44.5703125" customWidth="1"/>
    <col min="3592" max="3592" width="16" customWidth="1"/>
    <col min="3593" max="3593" width="18.5703125" customWidth="1"/>
    <col min="3594" max="3594" width="17.85546875" customWidth="1"/>
    <col min="3595" max="3595" width="19.42578125" customWidth="1"/>
    <col min="3596" max="3596" width="18.5703125" customWidth="1"/>
    <col min="3597" max="3597" width="0" hidden="1" customWidth="1"/>
    <col min="3598" max="3598" width="88.85546875" customWidth="1"/>
    <col min="3846" max="3846" width="8.42578125" customWidth="1"/>
    <col min="3847" max="3847" width="44.5703125" customWidth="1"/>
    <col min="3848" max="3848" width="16" customWidth="1"/>
    <col min="3849" max="3849" width="18.5703125" customWidth="1"/>
    <col min="3850" max="3850" width="17.85546875" customWidth="1"/>
    <col min="3851" max="3851" width="19.42578125" customWidth="1"/>
    <col min="3852" max="3852" width="18.5703125" customWidth="1"/>
    <col min="3853" max="3853" width="0" hidden="1" customWidth="1"/>
    <col min="3854" max="3854" width="88.85546875" customWidth="1"/>
    <col min="4102" max="4102" width="8.42578125" customWidth="1"/>
    <col min="4103" max="4103" width="44.5703125" customWidth="1"/>
    <col min="4104" max="4104" width="16" customWidth="1"/>
    <col min="4105" max="4105" width="18.5703125" customWidth="1"/>
    <col min="4106" max="4106" width="17.85546875" customWidth="1"/>
    <col min="4107" max="4107" width="19.42578125" customWidth="1"/>
    <col min="4108" max="4108" width="18.5703125" customWidth="1"/>
    <col min="4109" max="4109" width="0" hidden="1" customWidth="1"/>
    <col min="4110" max="4110" width="88.85546875" customWidth="1"/>
    <col min="4358" max="4358" width="8.42578125" customWidth="1"/>
    <col min="4359" max="4359" width="44.5703125" customWidth="1"/>
    <col min="4360" max="4360" width="16" customWidth="1"/>
    <col min="4361" max="4361" width="18.5703125" customWidth="1"/>
    <col min="4362" max="4362" width="17.85546875" customWidth="1"/>
    <col min="4363" max="4363" width="19.42578125" customWidth="1"/>
    <col min="4364" max="4364" width="18.5703125" customWidth="1"/>
    <col min="4365" max="4365" width="0" hidden="1" customWidth="1"/>
    <col min="4366" max="4366" width="88.85546875" customWidth="1"/>
    <col min="4614" max="4614" width="8.42578125" customWidth="1"/>
    <col min="4615" max="4615" width="44.5703125" customWidth="1"/>
    <col min="4616" max="4616" width="16" customWidth="1"/>
    <col min="4617" max="4617" width="18.5703125" customWidth="1"/>
    <col min="4618" max="4618" width="17.85546875" customWidth="1"/>
    <col min="4619" max="4619" width="19.42578125" customWidth="1"/>
    <col min="4620" max="4620" width="18.5703125" customWidth="1"/>
    <col min="4621" max="4621" width="0" hidden="1" customWidth="1"/>
    <col min="4622" max="4622" width="88.85546875" customWidth="1"/>
    <col min="4870" max="4870" width="8.42578125" customWidth="1"/>
    <col min="4871" max="4871" width="44.5703125" customWidth="1"/>
    <col min="4872" max="4872" width="16" customWidth="1"/>
    <col min="4873" max="4873" width="18.5703125" customWidth="1"/>
    <col min="4874" max="4874" width="17.85546875" customWidth="1"/>
    <col min="4875" max="4875" width="19.42578125" customWidth="1"/>
    <col min="4876" max="4876" width="18.5703125" customWidth="1"/>
    <col min="4877" max="4877" width="0" hidden="1" customWidth="1"/>
    <col min="4878" max="4878" width="88.85546875" customWidth="1"/>
    <col min="5126" max="5126" width="8.42578125" customWidth="1"/>
    <col min="5127" max="5127" width="44.5703125" customWidth="1"/>
    <col min="5128" max="5128" width="16" customWidth="1"/>
    <col min="5129" max="5129" width="18.5703125" customWidth="1"/>
    <col min="5130" max="5130" width="17.85546875" customWidth="1"/>
    <col min="5131" max="5131" width="19.42578125" customWidth="1"/>
    <col min="5132" max="5132" width="18.5703125" customWidth="1"/>
    <col min="5133" max="5133" width="0" hidden="1" customWidth="1"/>
    <col min="5134" max="5134" width="88.85546875" customWidth="1"/>
    <col min="5382" max="5382" width="8.42578125" customWidth="1"/>
    <col min="5383" max="5383" width="44.5703125" customWidth="1"/>
    <col min="5384" max="5384" width="16" customWidth="1"/>
    <col min="5385" max="5385" width="18.5703125" customWidth="1"/>
    <col min="5386" max="5386" width="17.85546875" customWidth="1"/>
    <col min="5387" max="5387" width="19.42578125" customWidth="1"/>
    <col min="5388" max="5388" width="18.5703125" customWidth="1"/>
    <col min="5389" max="5389" width="0" hidden="1" customWidth="1"/>
    <col min="5390" max="5390" width="88.85546875" customWidth="1"/>
    <col min="5638" max="5638" width="8.42578125" customWidth="1"/>
    <col min="5639" max="5639" width="44.5703125" customWidth="1"/>
    <col min="5640" max="5640" width="16" customWidth="1"/>
    <col min="5641" max="5641" width="18.5703125" customWidth="1"/>
    <col min="5642" max="5642" width="17.85546875" customWidth="1"/>
    <col min="5643" max="5643" width="19.42578125" customWidth="1"/>
    <col min="5644" max="5644" width="18.5703125" customWidth="1"/>
    <col min="5645" max="5645" width="0" hidden="1" customWidth="1"/>
    <col min="5646" max="5646" width="88.85546875" customWidth="1"/>
    <col min="5894" max="5894" width="8.42578125" customWidth="1"/>
    <col min="5895" max="5895" width="44.5703125" customWidth="1"/>
    <col min="5896" max="5896" width="16" customWidth="1"/>
    <col min="5897" max="5897" width="18.5703125" customWidth="1"/>
    <col min="5898" max="5898" width="17.85546875" customWidth="1"/>
    <col min="5899" max="5899" width="19.42578125" customWidth="1"/>
    <col min="5900" max="5900" width="18.5703125" customWidth="1"/>
    <col min="5901" max="5901" width="0" hidden="1" customWidth="1"/>
    <col min="5902" max="5902" width="88.85546875" customWidth="1"/>
    <col min="6150" max="6150" width="8.42578125" customWidth="1"/>
    <col min="6151" max="6151" width="44.5703125" customWidth="1"/>
    <col min="6152" max="6152" width="16" customWidth="1"/>
    <col min="6153" max="6153" width="18.5703125" customWidth="1"/>
    <col min="6154" max="6154" width="17.85546875" customWidth="1"/>
    <col min="6155" max="6155" width="19.42578125" customWidth="1"/>
    <col min="6156" max="6156" width="18.5703125" customWidth="1"/>
    <col min="6157" max="6157" width="0" hidden="1" customWidth="1"/>
    <col min="6158" max="6158" width="88.85546875" customWidth="1"/>
    <col min="6406" max="6406" width="8.42578125" customWidth="1"/>
    <col min="6407" max="6407" width="44.5703125" customWidth="1"/>
    <col min="6408" max="6408" width="16" customWidth="1"/>
    <col min="6409" max="6409" width="18.5703125" customWidth="1"/>
    <col min="6410" max="6410" width="17.85546875" customWidth="1"/>
    <col min="6411" max="6411" width="19.42578125" customWidth="1"/>
    <col min="6412" max="6412" width="18.5703125" customWidth="1"/>
    <col min="6413" max="6413" width="0" hidden="1" customWidth="1"/>
    <col min="6414" max="6414" width="88.85546875" customWidth="1"/>
    <col min="6662" max="6662" width="8.42578125" customWidth="1"/>
    <col min="6663" max="6663" width="44.5703125" customWidth="1"/>
    <col min="6664" max="6664" width="16" customWidth="1"/>
    <col min="6665" max="6665" width="18.5703125" customWidth="1"/>
    <col min="6666" max="6666" width="17.85546875" customWidth="1"/>
    <col min="6667" max="6667" width="19.42578125" customWidth="1"/>
    <col min="6668" max="6668" width="18.5703125" customWidth="1"/>
    <col min="6669" max="6669" width="0" hidden="1" customWidth="1"/>
    <col min="6670" max="6670" width="88.85546875" customWidth="1"/>
    <col min="6918" max="6918" width="8.42578125" customWidth="1"/>
    <col min="6919" max="6919" width="44.5703125" customWidth="1"/>
    <col min="6920" max="6920" width="16" customWidth="1"/>
    <col min="6921" max="6921" width="18.5703125" customWidth="1"/>
    <col min="6922" max="6922" width="17.85546875" customWidth="1"/>
    <col min="6923" max="6923" width="19.42578125" customWidth="1"/>
    <col min="6924" max="6924" width="18.5703125" customWidth="1"/>
    <col min="6925" max="6925" width="0" hidden="1" customWidth="1"/>
    <col min="6926" max="6926" width="88.85546875" customWidth="1"/>
    <col min="7174" max="7174" width="8.42578125" customWidth="1"/>
    <col min="7175" max="7175" width="44.5703125" customWidth="1"/>
    <col min="7176" max="7176" width="16" customWidth="1"/>
    <col min="7177" max="7177" width="18.5703125" customWidth="1"/>
    <col min="7178" max="7178" width="17.85546875" customWidth="1"/>
    <col min="7179" max="7179" width="19.42578125" customWidth="1"/>
    <col min="7180" max="7180" width="18.5703125" customWidth="1"/>
    <col min="7181" max="7181" width="0" hidden="1" customWidth="1"/>
    <col min="7182" max="7182" width="88.85546875" customWidth="1"/>
    <col min="7430" max="7430" width="8.42578125" customWidth="1"/>
    <col min="7431" max="7431" width="44.5703125" customWidth="1"/>
    <col min="7432" max="7432" width="16" customWidth="1"/>
    <col min="7433" max="7433" width="18.5703125" customWidth="1"/>
    <col min="7434" max="7434" width="17.85546875" customWidth="1"/>
    <col min="7435" max="7435" width="19.42578125" customWidth="1"/>
    <col min="7436" max="7436" width="18.5703125" customWidth="1"/>
    <col min="7437" max="7437" width="0" hidden="1" customWidth="1"/>
    <col min="7438" max="7438" width="88.85546875" customWidth="1"/>
    <col min="7686" max="7686" width="8.42578125" customWidth="1"/>
    <col min="7687" max="7687" width="44.5703125" customWidth="1"/>
    <col min="7688" max="7688" width="16" customWidth="1"/>
    <col min="7689" max="7689" width="18.5703125" customWidth="1"/>
    <col min="7690" max="7690" width="17.85546875" customWidth="1"/>
    <col min="7691" max="7691" width="19.42578125" customWidth="1"/>
    <col min="7692" max="7692" width="18.5703125" customWidth="1"/>
    <col min="7693" max="7693" width="0" hidden="1" customWidth="1"/>
    <col min="7694" max="7694" width="88.85546875" customWidth="1"/>
    <col min="7942" max="7942" width="8.42578125" customWidth="1"/>
    <col min="7943" max="7943" width="44.5703125" customWidth="1"/>
    <col min="7944" max="7944" width="16" customWidth="1"/>
    <col min="7945" max="7945" width="18.5703125" customWidth="1"/>
    <col min="7946" max="7946" width="17.85546875" customWidth="1"/>
    <col min="7947" max="7947" width="19.42578125" customWidth="1"/>
    <col min="7948" max="7948" width="18.5703125" customWidth="1"/>
    <col min="7949" max="7949" width="0" hidden="1" customWidth="1"/>
    <col min="7950" max="7950" width="88.85546875" customWidth="1"/>
    <col min="8198" max="8198" width="8.42578125" customWidth="1"/>
    <col min="8199" max="8199" width="44.5703125" customWidth="1"/>
    <col min="8200" max="8200" width="16" customWidth="1"/>
    <col min="8201" max="8201" width="18.5703125" customWidth="1"/>
    <col min="8202" max="8202" width="17.85546875" customWidth="1"/>
    <col min="8203" max="8203" width="19.42578125" customWidth="1"/>
    <col min="8204" max="8204" width="18.5703125" customWidth="1"/>
    <col min="8205" max="8205" width="0" hidden="1" customWidth="1"/>
    <col min="8206" max="8206" width="88.85546875" customWidth="1"/>
    <col min="8454" max="8454" width="8.42578125" customWidth="1"/>
    <col min="8455" max="8455" width="44.5703125" customWidth="1"/>
    <col min="8456" max="8456" width="16" customWidth="1"/>
    <col min="8457" max="8457" width="18.5703125" customWidth="1"/>
    <col min="8458" max="8458" width="17.85546875" customWidth="1"/>
    <col min="8459" max="8459" width="19.42578125" customWidth="1"/>
    <col min="8460" max="8460" width="18.5703125" customWidth="1"/>
    <col min="8461" max="8461" width="0" hidden="1" customWidth="1"/>
    <col min="8462" max="8462" width="88.85546875" customWidth="1"/>
    <col min="8710" max="8710" width="8.42578125" customWidth="1"/>
    <col min="8711" max="8711" width="44.5703125" customWidth="1"/>
    <col min="8712" max="8712" width="16" customWidth="1"/>
    <col min="8713" max="8713" width="18.5703125" customWidth="1"/>
    <col min="8714" max="8714" width="17.85546875" customWidth="1"/>
    <col min="8715" max="8715" width="19.42578125" customWidth="1"/>
    <col min="8716" max="8716" width="18.5703125" customWidth="1"/>
    <col min="8717" max="8717" width="0" hidden="1" customWidth="1"/>
    <col min="8718" max="8718" width="88.85546875" customWidth="1"/>
    <col min="8966" max="8966" width="8.42578125" customWidth="1"/>
    <col min="8967" max="8967" width="44.5703125" customWidth="1"/>
    <col min="8968" max="8968" width="16" customWidth="1"/>
    <col min="8969" max="8969" width="18.5703125" customWidth="1"/>
    <col min="8970" max="8970" width="17.85546875" customWidth="1"/>
    <col min="8971" max="8971" width="19.42578125" customWidth="1"/>
    <col min="8972" max="8972" width="18.5703125" customWidth="1"/>
    <col min="8973" max="8973" width="0" hidden="1" customWidth="1"/>
    <col min="8974" max="8974" width="88.85546875" customWidth="1"/>
    <col min="9222" max="9222" width="8.42578125" customWidth="1"/>
    <col min="9223" max="9223" width="44.5703125" customWidth="1"/>
    <col min="9224" max="9224" width="16" customWidth="1"/>
    <col min="9225" max="9225" width="18.5703125" customWidth="1"/>
    <col min="9226" max="9226" width="17.85546875" customWidth="1"/>
    <col min="9227" max="9227" width="19.42578125" customWidth="1"/>
    <col min="9228" max="9228" width="18.5703125" customWidth="1"/>
    <col min="9229" max="9229" width="0" hidden="1" customWidth="1"/>
    <col min="9230" max="9230" width="88.85546875" customWidth="1"/>
    <col min="9478" max="9478" width="8.42578125" customWidth="1"/>
    <col min="9479" max="9479" width="44.5703125" customWidth="1"/>
    <col min="9480" max="9480" width="16" customWidth="1"/>
    <col min="9481" max="9481" width="18.5703125" customWidth="1"/>
    <col min="9482" max="9482" width="17.85546875" customWidth="1"/>
    <col min="9483" max="9483" width="19.42578125" customWidth="1"/>
    <col min="9484" max="9484" width="18.5703125" customWidth="1"/>
    <col min="9485" max="9485" width="0" hidden="1" customWidth="1"/>
    <col min="9486" max="9486" width="88.85546875" customWidth="1"/>
    <col min="9734" max="9734" width="8.42578125" customWidth="1"/>
    <col min="9735" max="9735" width="44.5703125" customWidth="1"/>
    <col min="9736" max="9736" width="16" customWidth="1"/>
    <col min="9737" max="9737" width="18.5703125" customWidth="1"/>
    <col min="9738" max="9738" width="17.85546875" customWidth="1"/>
    <col min="9739" max="9739" width="19.42578125" customWidth="1"/>
    <col min="9740" max="9740" width="18.5703125" customWidth="1"/>
    <col min="9741" max="9741" width="0" hidden="1" customWidth="1"/>
    <col min="9742" max="9742" width="88.85546875" customWidth="1"/>
    <col min="9990" max="9990" width="8.42578125" customWidth="1"/>
    <col min="9991" max="9991" width="44.5703125" customWidth="1"/>
    <col min="9992" max="9992" width="16" customWidth="1"/>
    <col min="9993" max="9993" width="18.5703125" customWidth="1"/>
    <col min="9994" max="9994" width="17.85546875" customWidth="1"/>
    <col min="9995" max="9995" width="19.42578125" customWidth="1"/>
    <col min="9996" max="9996" width="18.5703125" customWidth="1"/>
    <col min="9997" max="9997" width="0" hidden="1" customWidth="1"/>
    <col min="9998" max="9998" width="88.85546875" customWidth="1"/>
    <col min="10246" max="10246" width="8.42578125" customWidth="1"/>
    <col min="10247" max="10247" width="44.5703125" customWidth="1"/>
    <col min="10248" max="10248" width="16" customWidth="1"/>
    <col min="10249" max="10249" width="18.5703125" customWidth="1"/>
    <col min="10250" max="10250" width="17.85546875" customWidth="1"/>
    <col min="10251" max="10251" width="19.42578125" customWidth="1"/>
    <col min="10252" max="10252" width="18.5703125" customWidth="1"/>
    <col min="10253" max="10253" width="0" hidden="1" customWidth="1"/>
    <col min="10254" max="10254" width="88.85546875" customWidth="1"/>
    <col min="10502" max="10502" width="8.42578125" customWidth="1"/>
    <col min="10503" max="10503" width="44.5703125" customWidth="1"/>
    <col min="10504" max="10504" width="16" customWidth="1"/>
    <col min="10505" max="10505" width="18.5703125" customWidth="1"/>
    <col min="10506" max="10506" width="17.85546875" customWidth="1"/>
    <col min="10507" max="10507" width="19.42578125" customWidth="1"/>
    <col min="10508" max="10508" width="18.5703125" customWidth="1"/>
    <col min="10509" max="10509" width="0" hidden="1" customWidth="1"/>
    <col min="10510" max="10510" width="88.85546875" customWidth="1"/>
    <col min="10758" max="10758" width="8.42578125" customWidth="1"/>
    <col min="10759" max="10759" width="44.5703125" customWidth="1"/>
    <col min="10760" max="10760" width="16" customWidth="1"/>
    <col min="10761" max="10761" width="18.5703125" customWidth="1"/>
    <col min="10762" max="10762" width="17.85546875" customWidth="1"/>
    <col min="10763" max="10763" width="19.42578125" customWidth="1"/>
    <col min="10764" max="10764" width="18.5703125" customWidth="1"/>
    <col min="10765" max="10765" width="0" hidden="1" customWidth="1"/>
    <col min="10766" max="10766" width="88.85546875" customWidth="1"/>
    <col min="11014" max="11014" width="8.42578125" customWidth="1"/>
    <col min="11015" max="11015" width="44.5703125" customWidth="1"/>
    <col min="11016" max="11016" width="16" customWidth="1"/>
    <col min="11017" max="11017" width="18.5703125" customWidth="1"/>
    <col min="11018" max="11018" width="17.85546875" customWidth="1"/>
    <col min="11019" max="11019" width="19.42578125" customWidth="1"/>
    <col min="11020" max="11020" width="18.5703125" customWidth="1"/>
    <col min="11021" max="11021" width="0" hidden="1" customWidth="1"/>
    <col min="11022" max="11022" width="88.85546875" customWidth="1"/>
    <col min="11270" max="11270" width="8.42578125" customWidth="1"/>
    <col min="11271" max="11271" width="44.5703125" customWidth="1"/>
    <col min="11272" max="11272" width="16" customWidth="1"/>
    <col min="11273" max="11273" width="18.5703125" customWidth="1"/>
    <col min="11274" max="11274" width="17.85546875" customWidth="1"/>
    <col min="11275" max="11275" width="19.42578125" customWidth="1"/>
    <col min="11276" max="11276" width="18.5703125" customWidth="1"/>
    <col min="11277" max="11277" width="0" hidden="1" customWidth="1"/>
    <col min="11278" max="11278" width="88.85546875" customWidth="1"/>
    <col min="11526" max="11526" width="8.42578125" customWidth="1"/>
    <col min="11527" max="11527" width="44.5703125" customWidth="1"/>
    <col min="11528" max="11528" width="16" customWidth="1"/>
    <col min="11529" max="11529" width="18.5703125" customWidth="1"/>
    <col min="11530" max="11530" width="17.85546875" customWidth="1"/>
    <col min="11531" max="11531" width="19.42578125" customWidth="1"/>
    <col min="11532" max="11532" width="18.5703125" customWidth="1"/>
    <col min="11533" max="11533" width="0" hidden="1" customWidth="1"/>
    <col min="11534" max="11534" width="88.85546875" customWidth="1"/>
    <col min="11782" max="11782" width="8.42578125" customWidth="1"/>
    <col min="11783" max="11783" width="44.5703125" customWidth="1"/>
    <col min="11784" max="11784" width="16" customWidth="1"/>
    <col min="11785" max="11785" width="18.5703125" customWidth="1"/>
    <col min="11786" max="11786" width="17.85546875" customWidth="1"/>
    <col min="11787" max="11787" width="19.42578125" customWidth="1"/>
    <col min="11788" max="11788" width="18.5703125" customWidth="1"/>
    <col min="11789" max="11789" width="0" hidden="1" customWidth="1"/>
    <col min="11790" max="11790" width="88.85546875" customWidth="1"/>
    <col min="12038" max="12038" width="8.42578125" customWidth="1"/>
    <col min="12039" max="12039" width="44.5703125" customWidth="1"/>
    <col min="12040" max="12040" width="16" customWidth="1"/>
    <col min="12041" max="12041" width="18.5703125" customWidth="1"/>
    <col min="12042" max="12042" width="17.85546875" customWidth="1"/>
    <col min="12043" max="12043" width="19.42578125" customWidth="1"/>
    <col min="12044" max="12044" width="18.5703125" customWidth="1"/>
    <col min="12045" max="12045" width="0" hidden="1" customWidth="1"/>
    <col min="12046" max="12046" width="88.85546875" customWidth="1"/>
    <col min="12294" max="12294" width="8.42578125" customWidth="1"/>
    <col min="12295" max="12295" width="44.5703125" customWidth="1"/>
    <col min="12296" max="12296" width="16" customWidth="1"/>
    <col min="12297" max="12297" width="18.5703125" customWidth="1"/>
    <col min="12298" max="12298" width="17.85546875" customWidth="1"/>
    <col min="12299" max="12299" width="19.42578125" customWidth="1"/>
    <col min="12300" max="12300" width="18.5703125" customWidth="1"/>
    <col min="12301" max="12301" width="0" hidden="1" customWidth="1"/>
    <col min="12302" max="12302" width="88.85546875" customWidth="1"/>
    <col min="12550" max="12550" width="8.42578125" customWidth="1"/>
    <col min="12551" max="12551" width="44.5703125" customWidth="1"/>
    <col min="12552" max="12552" width="16" customWidth="1"/>
    <col min="12553" max="12553" width="18.5703125" customWidth="1"/>
    <col min="12554" max="12554" width="17.85546875" customWidth="1"/>
    <col min="12555" max="12555" width="19.42578125" customWidth="1"/>
    <col min="12556" max="12556" width="18.5703125" customWidth="1"/>
    <col min="12557" max="12557" width="0" hidden="1" customWidth="1"/>
    <col min="12558" max="12558" width="88.85546875" customWidth="1"/>
    <col min="12806" max="12806" width="8.42578125" customWidth="1"/>
    <col min="12807" max="12807" width="44.5703125" customWidth="1"/>
    <col min="12808" max="12808" width="16" customWidth="1"/>
    <col min="12809" max="12809" width="18.5703125" customWidth="1"/>
    <col min="12810" max="12810" width="17.85546875" customWidth="1"/>
    <col min="12811" max="12811" width="19.42578125" customWidth="1"/>
    <col min="12812" max="12812" width="18.5703125" customWidth="1"/>
    <col min="12813" max="12813" width="0" hidden="1" customWidth="1"/>
    <col min="12814" max="12814" width="88.85546875" customWidth="1"/>
    <col min="13062" max="13062" width="8.42578125" customWidth="1"/>
    <col min="13063" max="13063" width="44.5703125" customWidth="1"/>
    <col min="13064" max="13064" width="16" customWidth="1"/>
    <col min="13065" max="13065" width="18.5703125" customWidth="1"/>
    <col min="13066" max="13066" width="17.85546875" customWidth="1"/>
    <col min="13067" max="13067" width="19.42578125" customWidth="1"/>
    <col min="13068" max="13068" width="18.5703125" customWidth="1"/>
    <col min="13069" max="13069" width="0" hidden="1" customWidth="1"/>
    <col min="13070" max="13070" width="88.85546875" customWidth="1"/>
    <col min="13318" max="13318" width="8.42578125" customWidth="1"/>
    <col min="13319" max="13319" width="44.5703125" customWidth="1"/>
    <col min="13320" max="13320" width="16" customWidth="1"/>
    <col min="13321" max="13321" width="18.5703125" customWidth="1"/>
    <col min="13322" max="13322" width="17.85546875" customWidth="1"/>
    <col min="13323" max="13323" width="19.42578125" customWidth="1"/>
    <col min="13324" max="13324" width="18.5703125" customWidth="1"/>
    <col min="13325" max="13325" width="0" hidden="1" customWidth="1"/>
    <col min="13326" max="13326" width="88.85546875" customWidth="1"/>
    <col min="13574" max="13574" width="8.42578125" customWidth="1"/>
    <col min="13575" max="13575" width="44.5703125" customWidth="1"/>
    <col min="13576" max="13576" width="16" customWidth="1"/>
    <col min="13577" max="13577" width="18.5703125" customWidth="1"/>
    <col min="13578" max="13578" width="17.85546875" customWidth="1"/>
    <col min="13579" max="13579" width="19.42578125" customWidth="1"/>
    <col min="13580" max="13580" width="18.5703125" customWidth="1"/>
    <col min="13581" max="13581" width="0" hidden="1" customWidth="1"/>
    <col min="13582" max="13582" width="88.85546875" customWidth="1"/>
    <col min="13830" max="13830" width="8.42578125" customWidth="1"/>
    <col min="13831" max="13831" width="44.5703125" customWidth="1"/>
    <col min="13832" max="13832" width="16" customWidth="1"/>
    <col min="13833" max="13833" width="18.5703125" customWidth="1"/>
    <col min="13834" max="13834" width="17.85546875" customWidth="1"/>
    <col min="13835" max="13835" width="19.42578125" customWidth="1"/>
    <col min="13836" max="13836" width="18.5703125" customWidth="1"/>
    <col min="13837" max="13837" width="0" hidden="1" customWidth="1"/>
    <col min="13838" max="13838" width="88.85546875" customWidth="1"/>
    <col min="14086" max="14086" width="8.42578125" customWidth="1"/>
    <col min="14087" max="14087" width="44.5703125" customWidth="1"/>
    <col min="14088" max="14088" width="16" customWidth="1"/>
    <col min="14089" max="14089" width="18.5703125" customWidth="1"/>
    <col min="14090" max="14090" width="17.85546875" customWidth="1"/>
    <col min="14091" max="14091" width="19.42578125" customWidth="1"/>
    <col min="14092" max="14092" width="18.5703125" customWidth="1"/>
    <col min="14093" max="14093" width="0" hidden="1" customWidth="1"/>
    <col min="14094" max="14094" width="88.85546875" customWidth="1"/>
    <col min="14342" max="14342" width="8.42578125" customWidth="1"/>
    <col min="14343" max="14343" width="44.5703125" customWidth="1"/>
    <col min="14344" max="14344" width="16" customWidth="1"/>
    <col min="14345" max="14345" width="18.5703125" customWidth="1"/>
    <col min="14346" max="14346" width="17.85546875" customWidth="1"/>
    <col min="14347" max="14347" width="19.42578125" customWidth="1"/>
    <col min="14348" max="14348" width="18.5703125" customWidth="1"/>
    <col min="14349" max="14349" width="0" hidden="1" customWidth="1"/>
    <col min="14350" max="14350" width="88.85546875" customWidth="1"/>
    <col min="14598" max="14598" width="8.42578125" customWidth="1"/>
    <col min="14599" max="14599" width="44.5703125" customWidth="1"/>
    <col min="14600" max="14600" width="16" customWidth="1"/>
    <col min="14601" max="14601" width="18.5703125" customWidth="1"/>
    <col min="14602" max="14602" width="17.85546875" customWidth="1"/>
    <col min="14603" max="14603" width="19.42578125" customWidth="1"/>
    <col min="14604" max="14604" width="18.5703125" customWidth="1"/>
    <col min="14605" max="14605" width="0" hidden="1" customWidth="1"/>
    <col min="14606" max="14606" width="88.85546875" customWidth="1"/>
    <col min="14854" max="14854" width="8.42578125" customWidth="1"/>
    <col min="14855" max="14855" width="44.5703125" customWidth="1"/>
    <col min="14856" max="14856" width="16" customWidth="1"/>
    <col min="14857" max="14857" width="18.5703125" customWidth="1"/>
    <col min="14858" max="14858" width="17.85546875" customWidth="1"/>
    <col min="14859" max="14859" width="19.42578125" customWidth="1"/>
    <col min="14860" max="14860" width="18.5703125" customWidth="1"/>
    <col min="14861" max="14861" width="0" hidden="1" customWidth="1"/>
    <col min="14862" max="14862" width="88.85546875" customWidth="1"/>
    <col min="15110" max="15110" width="8.42578125" customWidth="1"/>
    <col min="15111" max="15111" width="44.5703125" customWidth="1"/>
    <col min="15112" max="15112" width="16" customWidth="1"/>
    <col min="15113" max="15113" width="18.5703125" customWidth="1"/>
    <col min="15114" max="15114" width="17.85546875" customWidth="1"/>
    <col min="15115" max="15115" width="19.42578125" customWidth="1"/>
    <col min="15116" max="15116" width="18.5703125" customWidth="1"/>
    <col min="15117" max="15117" width="0" hidden="1" customWidth="1"/>
    <col min="15118" max="15118" width="88.85546875" customWidth="1"/>
    <col min="15366" max="15366" width="8.42578125" customWidth="1"/>
    <col min="15367" max="15367" width="44.5703125" customWidth="1"/>
    <col min="15368" max="15368" width="16" customWidth="1"/>
    <col min="15369" max="15369" width="18.5703125" customWidth="1"/>
    <col min="15370" max="15370" width="17.85546875" customWidth="1"/>
    <col min="15371" max="15371" width="19.42578125" customWidth="1"/>
    <col min="15372" max="15372" width="18.5703125" customWidth="1"/>
    <col min="15373" max="15373" width="0" hidden="1" customWidth="1"/>
    <col min="15374" max="15374" width="88.85546875" customWidth="1"/>
    <col min="15622" max="15622" width="8.42578125" customWidth="1"/>
    <col min="15623" max="15623" width="44.5703125" customWidth="1"/>
    <col min="15624" max="15624" width="16" customWidth="1"/>
    <col min="15625" max="15625" width="18.5703125" customWidth="1"/>
    <col min="15626" max="15626" width="17.85546875" customWidth="1"/>
    <col min="15627" max="15627" width="19.42578125" customWidth="1"/>
    <col min="15628" max="15628" width="18.5703125" customWidth="1"/>
    <col min="15629" max="15629" width="0" hidden="1" customWidth="1"/>
    <col min="15630" max="15630" width="88.85546875" customWidth="1"/>
    <col min="15878" max="15878" width="8.42578125" customWidth="1"/>
    <col min="15879" max="15879" width="44.5703125" customWidth="1"/>
    <col min="15880" max="15880" width="16" customWidth="1"/>
    <col min="15881" max="15881" width="18.5703125" customWidth="1"/>
    <col min="15882" max="15882" width="17.85546875" customWidth="1"/>
    <col min="15883" max="15883" width="19.42578125" customWidth="1"/>
    <col min="15884" max="15884" width="18.5703125" customWidth="1"/>
    <col min="15885" max="15885" width="0" hidden="1" customWidth="1"/>
    <col min="15886" max="15886" width="88.85546875" customWidth="1"/>
    <col min="16134" max="16134" width="8.42578125" customWidth="1"/>
    <col min="16135" max="16135" width="44.5703125" customWidth="1"/>
    <col min="16136" max="16136" width="16" customWidth="1"/>
    <col min="16137" max="16137" width="18.5703125" customWidth="1"/>
    <col min="16138" max="16138" width="17.85546875" customWidth="1"/>
    <col min="16139" max="16139" width="19.42578125" customWidth="1"/>
    <col min="16140" max="16140" width="18.5703125" customWidth="1"/>
    <col min="16141" max="16141" width="0" hidden="1" customWidth="1"/>
    <col min="16142" max="16142" width="88.85546875" customWidth="1"/>
  </cols>
  <sheetData>
    <row r="1" spans="1:24" s="83" customFormat="1" ht="36" hidden="1" customHeight="1" outlineLevel="1" x14ac:dyDescent="0.25">
      <c r="H1" s="114"/>
      <c r="I1" s="114"/>
      <c r="J1" s="311" t="s">
        <v>140</v>
      </c>
      <c r="K1" s="311"/>
      <c r="L1" s="311"/>
    </row>
    <row r="2" spans="1:24" s="83" customFormat="1" hidden="1" outlineLevel="1" x14ac:dyDescent="0.25">
      <c r="J2" s="115"/>
      <c r="K2" s="115"/>
      <c r="L2" s="115"/>
    </row>
    <row r="3" spans="1:24" s="83" customFormat="1" ht="12.95" hidden="1" customHeight="1" outlineLevel="1" x14ac:dyDescent="0.25">
      <c r="A3" s="312" t="s">
        <v>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s="83" customFormat="1" ht="12.95" hidden="1" customHeight="1" outlineLevel="1" x14ac:dyDescent="0.25">
      <c r="A4" s="312" t="s">
        <v>410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83" customFormat="1" ht="15.75" hidden="1" outlineLevel="1" x14ac:dyDescent="0.2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s="83" customFormat="1" ht="12.95" hidden="1" customHeight="1" outlineLevel="1" x14ac:dyDescent="0.25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</row>
    <row r="7" spans="1:24" s="83" customFormat="1" ht="12.95" hidden="1" customHeight="1" outlineLevel="1" x14ac:dyDescent="0.25">
      <c r="A7" s="306" t="s">
        <v>411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</row>
    <row r="8" spans="1:24" s="83" customFormat="1" ht="12.95" hidden="1" customHeight="1" outlineLevel="1" x14ac:dyDescent="0.25">
      <c r="A8" s="306" t="s">
        <v>412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118"/>
    </row>
    <row r="9" spans="1:24" s="83" customFormat="1" hidden="1" outlineLevel="1" x14ac:dyDescent="0.25">
      <c r="O9" s="139">
        <f>I33+I42+I57</f>
        <v>2129.3160984000001</v>
      </c>
    </row>
    <row r="10" spans="1:24" s="83" customFormat="1" ht="59.25" customHeight="1" collapsed="1" x14ac:dyDescent="0.25">
      <c r="A10" s="307"/>
      <c r="B10" s="308" t="s">
        <v>1</v>
      </c>
      <c r="C10" s="304" t="s">
        <v>199</v>
      </c>
      <c r="D10" s="304" t="s">
        <v>200</v>
      </c>
      <c r="E10" s="304" t="s">
        <v>201</v>
      </c>
      <c r="F10" s="304" t="s">
        <v>247</v>
      </c>
      <c r="G10" s="304" t="s">
        <v>260</v>
      </c>
      <c r="H10" s="308" t="s">
        <v>202</v>
      </c>
      <c r="I10" s="308" t="s">
        <v>2</v>
      </c>
      <c r="J10" s="308" t="s">
        <v>141</v>
      </c>
      <c r="K10" s="308"/>
      <c r="L10" s="308"/>
      <c r="M10" s="309" t="s">
        <v>143</v>
      </c>
      <c r="N10" s="107"/>
    </row>
    <row r="11" spans="1:24" s="83" customFormat="1" ht="48.6" customHeight="1" x14ac:dyDescent="0.25">
      <c r="A11" s="307"/>
      <c r="B11" s="308"/>
      <c r="C11" s="305"/>
      <c r="D11" s="305"/>
      <c r="E11" s="305"/>
      <c r="F11" s="305"/>
      <c r="G11" s="305"/>
      <c r="H11" s="308"/>
      <c r="I11" s="308"/>
      <c r="J11" s="149" t="s">
        <v>3</v>
      </c>
      <c r="K11" s="149" t="s">
        <v>259</v>
      </c>
      <c r="L11" s="149" t="s">
        <v>4</v>
      </c>
      <c r="M11" s="310"/>
      <c r="N11" s="107"/>
    </row>
    <row r="12" spans="1:24" s="83" customFormat="1" ht="16.7" customHeight="1" x14ac:dyDescent="0.3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/>
      <c r="G12" s="121"/>
      <c r="H12" s="121">
        <v>6</v>
      </c>
      <c r="I12" s="121">
        <v>7</v>
      </c>
      <c r="J12" s="121">
        <v>5</v>
      </c>
      <c r="K12" s="121">
        <v>8</v>
      </c>
      <c r="L12" s="121">
        <v>9</v>
      </c>
      <c r="M12" s="122">
        <v>10</v>
      </c>
      <c r="N12" s="123">
        <v>9</v>
      </c>
    </row>
    <row r="13" spans="1:24" s="116" customFormat="1" ht="17.45" customHeight="1" x14ac:dyDescent="0.2">
      <c r="A13" s="72">
        <v>1</v>
      </c>
      <c r="B13" s="24" t="s">
        <v>5</v>
      </c>
      <c r="C13" s="124">
        <f>C14+C15+C33+C38+C41</f>
        <v>320.745991</v>
      </c>
      <c r="D13" s="124">
        <f t="shared" ref="D13:H13" si="0">D14+D15+D33+D38+D41</f>
        <v>368.84052799999995</v>
      </c>
      <c r="E13" s="124">
        <f t="shared" si="0"/>
        <v>1992.67824</v>
      </c>
      <c r="F13" s="124"/>
      <c r="G13" s="124"/>
      <c r="H13" s="124">
        <f t="shared" si="0"/>
        <v>3744.7008469400002</v>
      </c>
      <c r="I13" s="124">
        <f>I14+I15+I33+I38+I41</f>
        <v>2384.6659580420005</v>
      </c>
      <c r="J13" s="124">
        <f t="shared" ref="J13:L13" ca="1" si="1">J14+J15+J33+J38+J41</f>
        <v>2439.009443608667</v>
      </c>
      <c r="K13" s="124">
        <f t="shared" si="1"/>
        <v>1324.4711986320003</v>
      </c>
      <c r="L13" s="124">
        <f t="shared" si="1"/>
        <v>1060.19475941</v>
      </c>
      <c r="M13" s="82">
        <f>I13/E13*100</f>
        <v>119.6714005389049</v>
      </c>
      <c r="N13" s="125"/>
      <c r="P13" s="285"/>
      <c r="Q13" s="285"/>
    </row>
    <row r="14" spans="1:24" s="83" customFormat="1" ht="36" customHeight="1" x14ac:dyDescent="0.25">
      <c r="A14" s="72" t="s">
        <v>6</v>
      </c>
      <c r="B14" s="73" t="s">
        <v>7</v>
      </c>
      <c r="C14" s="17">
        <v>0.32</v>
      </c>
      <c r="D14" s="17">
        <v>0</v>
      </c>
      <c r="E14" s="17">
        <v>1.91</v>
      </c>
      <c r="F14" s="81">
        <v>1.046</v>
      </c>
      <c r="G14" s="17">
        <f>E14*F14</f>
        <v>1.99786</v>
      </c>
      <c r="H14" s="17">
        <v>2.56</v>
      </c>
      <c r="I14" s="17">
        <v>2.33</v>
      </c>
      <c r="J14" s="17">
        <v>0</v>
      </c>
      <c r="K14" s="17">
        <v>1.19</v>
      </c>
      <c r="L14" s="17">
        <f>I14-K14</f>
        <v>1.1400000000000001</v>
      </c>
      <c r="M14" s="82">
        <f>I14/E14*100</f>
        <v>121.98952879581154</v>
      </c>
      <c r="N14" s="22" t="s">
        <v>261</v>
      </c>
      <c r="O14" s="83">
        <f>G14/12*14</f>
        <v>2.3308366666666664</v>
      </c>
    </row>
    <row r="15" spans="1:24" s="83" customFormat="1" ht="18.600000000000001" customHeight="1" x14ac:dyDescent="0.25">
      <c r="A15" s="72" t="s">
        <v>8</v>
      </c>
      <c r="B15" s="73" t="s">
        <v>9</v>
      </c>
      <c r="C15" s="17">
        <f t="shared" ref="C15:L15" si="2">C16+C27+C28+C29</f>
        <v>22.319771000000003</v>
      </c>
      <c r="D15" s="17">
        <f t="shared" si="2"/>
        <v>93.597728000000004</v>
      </c>
      <c r="E15" s="17">
        <f t="shared" si="2"/>
        <v>138.67000000000002</v>
      </c>
      <c r="F15" s="17"/>
      <c r="G15" s="17"/>
      <c r="H15" s="17">
        <f t="shared" si="2"/>
        <v>960.85080693999998</v>
      </c>
      <c r="I15" s="17">
        <f t="shared" si="2"/>
        <v>186.17080885000001</v>
      </c>
      <c r="J15" s="17">
        <f t="shared" ca="1" si="2"/>
        <v>1059.6200000000001</v>
      </c>
      <c r="K15" s="17">
        <f t="shared" si="2"/>
        <v>103.07034400000001</v>
      </c>
      <c r="L15" s="17">
        <f t="shared" si="2"/>
        <v>83.100464850000009</v>
      </c>
      <c r="M15" s="82">
        <f t="shared" ref="M15:M77" si="3">I15/E15*100</f>
        <v>134.25456757049108</v>
      </c>
      <c r="N15" s="107"/>
    </row>
    <row r="16" spans="1:24" s="83" customFormat="1" ht="21.6" customHeight="1" x14ac:dyDescent="0.25">
      <c r="A16" s="72" t="s">
        <v>10</v>
      </c>
      <c r="B16" s="73" t="s">
        <v>11</v>
      </c>
      <c r="C16" s="17">
        <f t="shared" ref="C16:L16" si="4">C21+C24</f>
        <v>22.319771000000003</v>
      </c>
      <c r="D16" s="17">
        <f t="shared" si="4"/>
        <v>93.597728000000004</v>
      </c>
      <c r="E16" s="17">
        <f t="shared" si="4"/>
        <v>138.67000000000002</v>
      </c>
      <c r="F16" s="17">
        <v>1.075</v>
      </c>
      <c r="G16" s="17">
        <f>E16*F16</f>
        <v>149.07025000000002</v>
      </c>
      <c r="H16" s="17">
        <f t="shared" si="4"/>
        <v>960.85080693999998</v>
      </c>
      <c r="I16" s="17">
        <f t="shared" si="4"/>
        <v>186.17080885000001</v>
      </c>
      <c r="J16" s="17">
        <f t="shared" ca="1" si="4"/>
        <v>1059.6200000000001</v>
      </c>
      <c r="K16" s="17">
        <f t="shared" si="4"/>
        <v>103.07034400000001</v>
      </c>
      <c r="L16" s="17">
        <f t="shared" si="4"/>
        <v>83.100464850000009</v>
      </c>
      <c r="M16" s="82">
        <f t="shared" si="3"/>
        <v>134.25456757049108</v>
      </c>
      <c r="N16" s="108"/>
    </row>
    <row r="17" spans="1:14" s="83" customFormat="1" ht="16.350000000000001" hidden="1" customHeight="1" x14ac:dyDescent="0.25">
      <c r="A17" s="72" t="s">
        <v>12</v>
      </c>
      <c r="B17" s="73" t="s">
        <v>13</v>
      </c>
      <c r="C17" s="17"/>
      <c r="D17" s="17"/>
      <c r="E17" s="17"/>
      <c r="F17" s="17"/>
      <c r="G17" s="17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82" t="e">
        <f t="shared" si="3"/>
        <v>#DIV/0!</v>
      </c>
      <c r="N17" s="107"/>
    </row>
    <row r="18" spans="1:14" s="113" customFormat="1" ht="16.7" hidden="1" customHeight="1" x14ac:dyDescent="0.2">
      <c r="A18" s="109"/>
      <c r="B18" s="110" t="s">
        <v>14</v>
      </c>
      <c r="C18" s="111"/>
      <c r="D18" s="111"/>
      <c r="E18" s="111"/>
      <c r="F18" s="111"/>
      <c r="G18" s="111"/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82" t="e">
        <f t="shared" si="3"/>
        <v>#DIV/0!</v>
      </c>
      <c r="N18" s="112"/>
    </row>
    <row r="19" spans="1:14" s="113" customFormat="1" ht="15.6" hidden="1" customHeight="1" x14ac:dyDescent="0.2">
      <c r="A19" s="109"/>
      <c r="B19" s="110" t="s">
        <v>15</v>
      </c>
      <c r="C19" s="111"/>
      <c r="D19" s="111"/>
      <c r="E19" s="111"/>
      <c r="F19" s="111"/>
      <c r="G19" s="111"/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82" t="e">
        <f t="shared" si="3"/>
        <v>#DIV/0!</v>
      </c>
      <c r="N19" s="112"/>
    </row>
    <row r="20" spans="1:14" s="113" customFormat="1" ht="15.6" hidden="1" customHeight="1" x14ac:dyDescent="0.2">
      <c r="A20" s="72" t="s">
        <v>12</v>
      </c>
      <c r="B20" s="73" t="s">
        <v>178</v>
      </c>
      <c r="C20" s="17"/>
      <c r="D20" s="17"/>
      <c r="E20" s="111"/>
      <c r="F20" s="111"/>
      <c r="G20" s="111"/>
      <c r="H20" s="111"/>
      <c r="I20" s="111"/>
      <c r="J20" s="111"/>
      <c r="K20" s="111"/>
      <c r="L20" s="111"/>
      <c r="M20" s="82" t="e">
        <f t="shared" si="3"/>
        <v>#DIV/0!</v>
      </c>
      <c r="N20" s="112"/>
    </row>
    <row r="21" spans="1:14" s="83" customFormat="1" ht="60" customHeight="1" x14ac:dyDescent="0.25">
      <c r="A21" s="72" t="s">
        <v>12</v>
      </c>
      <c r="B21" s="73" t="s">
        <v>256</v>
      </c>
      <c r="C21" s="17">
        <f>C22*C23</f>
        <v>14.889771000000001</v>
      </c>
      <c r="D21" s="17">
        <f t="shared" ref="D21:H21" si="5">D22*D23</f>
        <v>85.897728000000001</v>
      </c>
      <c r="E21" s="17">
        <v>92.51</v>
      </c>
      <c r="F21" s="17"/>
      <c r="G21" s="17"/>
      <c r="H21" s="17">
        <f t="shared" si="5"/>
        <v>892.56080694000002</v>
      </c>
      <c r="I21" s="17">
        <f>K21+L21</f>
        <v>124.20345775000001</v>
      </c>
      <c r="J21" s="17">
        <f ca="1">J22*J23</f>
        <v>1451.5314329999999</v>
      </c>
      <c r="K21" s="17">
        <f>K22*K23</f>
        <v>68.763159999999999</v>
      </c>
      <c r="L21" s="17">
        <f>L22*L23</f>
        <v>55.440297750000006</v>
      </c>
      <c r="M21" s="82">
        <f t="shared" si="3"/>
        <v>134.25949383850394</v>
      </c>
      <c r="N21" s="22" t="s">
        <v>300</v>
      </c>
    </row>
    <row r="22" spans="1:14" s="113" customFormat="1" ht="16.350000000000001" customHeight="1" x14ac:dyDescent="0.2">
      <c r="A22" s="109"/>
      <c r="B22" s="110" t="s">
        <v>14</v>
      </c>
      <c r="C22" s="111">
        <v>6.4710000000000001</v>
      </c>
      <c r="D22" s="111">
        <v>26.63</v>
      </c>
      <c r="E22" s="111">
        <v>38.82</v>
      </c>
      <c r="F22" s="111"/>
      <c r="G22" s="111"/>
      <c r="H22" s="111">
        <v>250.76300000000001</v>
      </c>
      <c r="I22" s="111">
        <v>45.29</v>
      </c>
      <c r="J22" s="111">
        <f ca="1">J21/J23</f>
        <v>444.48184818481849</v>
      </c>
      <c r="K22" s="111">
        <v>25.88</v>
      </c>
      <c r="L22" s="111">
        <v>19.41</v>
      </c>
      <c r="M22" s="82">
        <f t="shared" si="3"/>
        <v>116.66666666666667</v>
      </c>
      <c r="N22" s="112"/>
    </row>
    <row r="23" spans="1:14" s="113" customFormat="1" ht="18.600000000000001" customHeight="1" x14ac:dyDescent="0.2">
      <c r="A23" s="109"/>
      <c r="B23" s="110" t="s">
        <v>15</v>
      </c>
      <c r="C23" s="111">
        <v>2.3010000000000002</v>
      </c>
      <c r="D23" s="111">
        <v>3.2256</v>
      </c>
      <c r="E23" s="111">
        <v>2.383</v>
      </c>
      <c r="F23" s="111">
        <v>1.075</v>
      </c>
      <c r="G23" s="111">
        <f>E23*F23</f>
        <v>2.561725</v>
      </c>
      <c r="H23" s="111">
        <v>3.55938</v>
      </c>
      <c r="I23" s="111">
        <f>I21/I22</f>
        <v>2.7424035714285719</v>
      </c>
      <c r="J23" s="111">
        <v>3.03</v>
      </c>
      <c r="K23" s="111">
        <v>2.657</v>
      </c>
      <c r="L23" s="111">
        <f>K23*F23</f>
        <v>2.8562750000000001</v>
      </c>
      <c r="M23" s="82">
        <f t="shared" si="3"/>
        <v>115.08197949763206</v>
      </c>
      <c r="N23" s="112"/>
    </row>
    <row r="24" spans="1:14" s="113" customFormat="1" ht="64.5" customHeight="1" x14ac:dyDescent="0.2">
      <c r="A24" s="72" t="s">
        <v>16</v>
      </c>
      <c r="B24" s="73" t="s">
        <v>257</v>
      </c>
      <c r="C24" s="17">
        <v>7.43</v>
      </c>
      <c r="D24" s="17">
        <v>7.7</v>
      </c>
      <c r="E24" s="17">
        <v>46.16</v>
      </c>
      <c r="F24" s="17"/>
      <c r="G24" s="17"/>
      <c r="H24" s="17">
        <v>68.290000000000006</v>
      </c>
      <c r="I24" s="17">
        <f>K24+L24</f>
        <v>61.967351100000002</v>
      </c>
      <c r="J24" s="17">
        <f>J25*J26</f>
        <v>0</v>
      </c>
      <c r="K24" s="17">
        <f>K25*K26</f>
        <v>34.307183999999999</v>
      </c>
      <c r="L24" s="17">
        <f>L25*L26</f>
        <v>27.660167100000002</v>
      </c>
      <c r="M24" s="82">
        <f t="shared" si="3"/>
        <v>134.24469475736569</v>
      </c>
      <c r="N24" s="22" t="s">
        <v>301</v>
      </c>
    </row>
    <row r="25" spans="1:14" s="113" customFormat="1" ht="26.25" customHeight="1" x14ac:dyDescent="0.2">
      <c r="A25" s="109"/>
      <c r="B25" s="110" t="s">
        <v>14</v>
      </c>
      <c r="C25" s="111">
        <v>0</v>
      </c>
      <c r="D25" s="111">
        <v>0</v>
      </c>
      <c r="E25" s="111">
        <v>0</v>
      </c>
      <c r="F25" s="111"/>
      <c r="G25" s="111"/>
      <c r="H25" s="111">
        <v>0</v>
      </c>
      <c r="I25" s="111">
        <f>K25+L25</f>
        <v>22.596000000000004</v>
      </c>
      <c r="J25" s="111"/>
      <c r="K25" s="111">
        <f>22.596/14*8</f>
        <v>12.912000000000001</v>
      </c>
      <c r="L25" s="111">
        <f>22.596/14*6</f>
        <v>9.6840000000000011</v>
      </c>
      <c r="M25" s="82"/>
      <c r="N25" s="112"/>
    </row>
    <row r="26" spans="1:14" s="113" customFormat="1" ht="18.600000000000001" customHeight="1" x14ac:dyDescent="0.2">
      <c r="A26" s="109"/>
      <c r="B26" s="110" t="s">
        <v>15</v>
      </c>
      <c r="C26" s="111">
        <v>0</v>
      </c>
      <c r="D26" s="111">
        <v>0</v>
      </c>
      <c r="E26" s="111">
        <v>0</v>
      </c>
      <c r="F26" s="111">
        <v>1.075</v>
      </c>
      <c r="G26" s="111"/>
      <c r="H26" s="111">
        <v>0</v>
      </c>
      <c r="I26" s="111">
        <v>2.85</v>
      </c>
      <c r="J26" s="111"/>
      <c r="K26" s="111">
        <v>2.657</v>
      </c>
      <c r="L26" s="111">
        <f>K26*F26</f>
        <v>2.8562750000000001</v>
      </c>
      <c r="M26" s="82"/>
      <c r="N26" s="112"/>
    </row>
    <row r="27" spans="1:14" s="83" customFormat="1" ht="19.7" customHeight="1" x14ac:dyDescent="0.25">
      <c r="A27" s="72" t="s">
        <v>17</v>
      </c>
      <c r="B27" s="73" t="s">
        <v>18</v>
      </c>
      <c r="C27" s="17">
        <v>0</v>
      </c>
      <c r="D27" s="17">
        <v>0</v>
      </c>
      <c r="E27" s="17">
        <v>0</v>
      </c>
      <c r="F27" s="17"/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2"/>
      <c r="N27" s="126"/>
    </row>
    <row r="28" spans="1:14" s="83" customFormat="1" ht="23.45" customHeight="1" x14ac:dyDescent="0.25">
      <c r="A28" s="72" t="s">
        <v>19</v>
      </c>
      <c r="B28" s="73" t="s">
        <v>20</v>
      </c>
      <c r="C28" s="17">
        <v>0</v>
      </c>
      <c r="D28" s="17">
        <v>0</v>
      </c>
      <c r="E28" s="17">
        <v>0</v>
      </c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2"/>
      <c r="N28" s="12"/>
    </row>
    <row r="29" spans="1:14" s="83" customFormat="1" ht="19.350000000000001" customHeight="1" x14ac:dyDescent="0.25">
      <c r="A29" s="72" t="s">
        <v>21</v>
      </c>
      <c r="B29" s="73" t="s">
        <v>22</v>
      </c>
      <c r="C29" s="17">
        <v>0</v>
      </c>
      <c r="D29" s="17">
        <v>0</v>
      </c>
      <c r="E29" s="17">
        <f t="shared" ref="E29:L29" si="6">E30*E31</f>
        <v>0</v>
      </c>
      <c r="F29" s="17"/>
      <c r="G29" s="17"/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82"/>
      <c r="N29" s="126"/>
    </row>
    <row r="30" spans="1:14" s="113" customFormat="1" ht="19.350000000000001" customHeight="1" x14ac:dyDescent="0.2">
      <c r="A30" s="109" t="s">
        <v>23</v>
      </c>
      <c r="B30" s="110" t="s">
        <v>24</v>
      </c>
      <c r="C30" s="111">
        <v>0</v>
      </c>
      <c r="D30" s="111">
        <v>0</v>
      </c>
      <c r="E30" s="111">
        <v>0</v>
      </c>
      <c r="F30" s="111"/>
      <c r="G30" s="111"/>
      <c r="H30" s="111">
        <v>0</v>
      </c>
      <c r="I30" s="111">
        <f>K30+L30</f>
        <v>0</v>
      </c>
      <c r="J30" s="111">
        <v>0</v>
      </c>
      <c r="K30" s="111">
        <f>H30/2</f>
        <v>0</v>
      </c>
      <c r="L30" s="111">
        <f>K30</f>
        <v>0</v>
      </c>
      <c r="M30" s="82"/>
      <c r="N30" s="112"/>
    </row>
    <row r="31" spans="1:14" s="113" customFormat="1" ht="16.7" customHeight="1" x14ac:dyDescent="0.2">
      <c r="A31" s="109" t="s">
        <v>25</v>
      </c>
      <c r="B31" s="110" t="s">
        <v>26</v>
      </c>
      <c r="C31" s="111">
        <v>0</v>
      </c>
      <c r="D31" s="111">
        <v>0</v>
      </c>
      <c r="E31" s="111">
        <v>0</v>
      </c>
      <c r="F31" s="111"/>
      <c r="G31" s="111"/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82"/>
      <c r="N31" s="112"/>
    </row>
    <row r="32" spans="1:14" ht="34.700000000000003" hidden="1" customHeight="1" x14ac:dyDescent="0.25">
      <c r="A32" s="65" t="s">
        <v>27</v>
      </c>
      <c r="B32" s="5" t="s">
        <v>28</v>
      </c>
      <c r="C32" s="1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2" t="e">
        <f t="shared" si="3"/>
        <v>#DIV/0!</v>
      </c>
      <c r="N32" s="11"/>
    </row>
    <row r="33" spans="1:15" s="83" customFormat="1" ht="66" customHeight="1" x14ac:dyDescent="0.25">
      <c r="A33" s="119" t="s">
        <v>27</v>
      </c>
      <c r="B33" s="73" t="s">
        <v>30</v>
      </c>
      <c r="C33" s="17">
        <v>188.92</v>
      </c>
      <c r="D33" s="17">
        <v>166.6</v>
      </c>
      <c r="E33" s="17">
        <v>1190.18</v>
      </c>
      <c r="F33" s="17"/>
      <c r="G33" s="17"/>
      <c r="H33" s="17">
        <v>1713.4</v>
      </c>
      <c r="I33" s="17">
        <f>K33+L33</f>
        <v>1439.5445568</v>
      </c>
      <c r="J33" s="17">
        <v>1421.83</v>
      </c>
      <c r="K33" s="132">
        <f>4741*1.125*1.4*1.6*(3*1.23+2*1.11+1*1.36+1*1.11)*8/1000</f>
        <v>800.94833280000012</v>
      </c>
      <c r="L33" s="133">
        <f>5040*1.125*1.4*1.6*(3*1.23+2*1.11+1*1.36+1*1.11)*6/1000</f>
        <v>638.59622399999989</v>
      </c>
      <c r="M33" s="82">
        <f t="shared" si="3"/>
        <v>120.95183558789427</v>
      </c>
      <c r="N33" s="134" t="s">
        <v>302</v>
      </c>
    </row>
    <row r="34" spans="1:15" s="113" customFormat="1" ht="93.75" customHeight="1" x14ac:dyDescent="0.2">
      <c r="A34" s="109" t="s">
        <v>179</v>
      </c>
      <c r="B34" s="110" t="s">
        <v>32</v>
      </c>
      <c r="C34" s="111">
        <v>7</v>
      </c>
      <c r="D34" s="111">
        <v>7</v>
      </c>
      <c r="E34" s="111">
        <v>7</v>
      </c>
      <c r="F34" s="111"/>
      <c r="G34" s="111"/>
      <c r="H34" s="111">
        <v>7</v>
      </c>
      <c r="I34" s="111">
        <v>7</v>
      </c>
      <c r="J34" s="111">
        <v>17</v>
      </c>
      <c r="K34" s="111">
        <v>7</v>
      </c>
      <c r="L34" s="111">
        <v>7</v>
      </c>
      <c r="M34" s="82">
        <f t="shared" si="3"/>
        <v>100</v>
      </c>
      <c r="N34" s="22" t="s">
        <v>304</v>
      </c>
    </row>
    <row r="35" spans="1:15" s="113" customFormat="1" ht="15.75" x14ac:dyDescent="0.2">
      <c r="A35" s="109" t="s">
        <v>180</v>
      </c>
      <c r="B35" s="129" t="s">
        <v>33</v>
      </c>
      <c r="C35" s="130">
        <v>4473</v>
      </c>
      <c r="D35" s="130">
        <v>4489.96</v>
      </c>
      <c r="E35" s="111">
        <v>4473</v>
      </c>
      <c r="F35" s="111"/>
      <c r="G35" s="111"/>
      <c r="H35" s="111">
        <v>5033.1400000000003</v>
      </c>
      <c r="I35" s="111"/>
      <c r="J35" s="111">
        <v>4771</v>
      </c>
      <c r="K35" s="111">
        <v>4741</v>
      </c>
      <c r="L35" s="111">
        <v>5040</v>
      </c>
      <c r="M35" s="82">
        <f>L35/K35*100</f>
        <v>106.30668635309006</v>
      </c>
      <c r="N35" s="112"/>
    </row>
    <row r="36" spans="1:15" s="113" customFormat="1" ht="15.75" x14ac:dyDescent="0.2">
      <c r="A36" s="109" t="s">
        <v>181</v>
      </c>
      <c r="B36" s="129" t="s">
        <v>34</v>
      </c>
      <c r="C36" s="130">
        <v>2.71</v>
      </c>
      <c r="D36" s="130">
        <v>3</v>
      </c>
      <c r="E36" s="111">
        <v>2.71</v>
      </c>
      <c r="F36" s="111"/>
      <c r="G36" s="111"/>
      <c r="H36" s="111">
        <v>3</v>
      </c>
      <c r="I36" s="111">
        <v>2.71</v>
      </c>
      <c r="J36" s="111">
        <v>2.41</v>
      </c>
      <c r="K36" s="111">
        <v>2.71</v>
      </c>
      <c r="L36" s="111">
        <v>2.71</v>
      </c>
      <c r="M36" s="82">
        <f t="shared" si="3"/>
        <v>100</v>
      </c>
      <c r="N36" s="22" t="s">
        <v>35</v>
      </c>
    </row>
    <row r="37" spans="1:15" s="113" customFormat="1" ht="15.75" x14ac:dyDescent="0.2">
      <c r="A37" s="109" t="s">
        <v>182</v>
      </c>
      <c r="B37" s="110" t="s">
        <v>36</v>
      </c>
      <c r="C37" s="111">
        <v>13949.29</v>
      </c>
      <c r="D37" s="111">
        <v>11900</v>
      </c>
      <c r="E37" s="111">
        <f>E33/E34/12*1000</f>
        <v>14168.809523809523</v>
      </c>
      <c r="F37" s="111"/>
      <c r="G37" s="111"/>
      <c r="H37" s="111">
        <f>H33/H34/12*1000</f>
        <v>20397.61904761905</v>
      </c>
      <c r="I37" s="111">
        <f>I33/I34/14*1000</f>
        <v>14689.230171428573</v>
      </c>
      <c r="J37" s="111">
        <f>J33/J34/6*1000</f>
        <v>13939.509803921566</v>
      </c>
      <c r="K37" s="111">
        <f>K33/K34/8*1000</f>
        <v>14302.648800000003</v>
      </c>
      <c r="L37" s="111">
        <f>L33/L34/6*1000</f>
        <v>15204.671999999997</v>
      </c>
      <c r="M37" s="82">
        <f t="shared" si="3"/>
        <v>103.67300193248082</v>
      </c>
      <c r="N37" s="112"/>
    </row>
    <row r="38" spans="1:15" s="83" customFormat="1" ht="15.75" x14ac:dyDescent="0.25">
      <c r="A38" s="119" t="s">
        <v>29</v>
      </c>
      <c r="B38" s="131" t="s">
        <v>38</v>
      </c>
      <c r="C38" s="17">
        <f t="shared" ref="C38:L38" si="7">C33*C39/100</f>
        <v>57.053839999999994</v>
      </c>
      <c r="D38" s="17">
        <f t="shared" si="7"/>
        <v>50.313199999999995</v>
      </c>
      <c r="E38" s="17">
        <f t="shared" si="7"/>
        <v>359.43436000000003</v>
      </c>
      <c r="F38" s="17"/>
      <c r="G38" s="17"/>
      <c r="H38" s="17">
        <f t="shared" si="7"/>
        <v>517.44680000000005</v>
      </c>
      <c r="I38" s="17">
        <f t="shared" si="7"/>
        <v>434.74245615360002</v>
      </c>
      <c r="J38" s="17">
        <f t="shared" si="7"/>
        <v>429.39265999999998</v>
      </c>
      <c r="K38" s="17">
        <f t="shared" si="7"/>
        <v>241.88639650560003</v>
      </c>
      <c r="L38" s="17">
        <f t="shared" si="7"/>
        <v>192.85605964799998</v>
      </c>
      <c r="M38" s="82">
        <f t="shared" si="3"/>
        <v>120.95183558789427</v>
      </c>
      <c r="N38" s="126"/>
    </row>
    <row r="39" spans="1:15" s="83" customFormat="1" ht="78.75" customHeight="1" x14ac:dyDescent="0.25">
      <c r="A39" s="119" t="s">
        <v>31</v>
      </c>
      <c r="B39" s="131" t="s">
        <v>39</v>
      </c>
      <c r="C39" s="17">
        <v>30.2</v>
      </c>
      <c r="D39" s="17">
        <v>30.2</v>
      </c>
      <c r="E39" s="17">
        <v>30.2</v>
      </c>
      <c r="F39" s="17"/>
      <c r="G39" s="17"/>
      <c r="H39" s="17">
        <v>30.2</v>
      </c>
      <c r="I39" s="17">
        <v>30.2</v>
      </c>
      <c r="J39" s="17">
        <v>30.2</v>
      </c>
      <c r="K39" s="17">
        <v>30.2</v>
      </c>
      <c r="L39" s="17">
        <v>30.2</v>
      </c>
      <c r="M39" s="82">
        <f t="shared" si="3"/>
        <v>100</v>
      </c>
      <c r="N39" s="22" t="s">
        <v>305</v>
      </c>
    </row>
    <row r="40" spans="1:15" ht="49.7" hidden="1" customHeight="1" x14ac:dyDescent="0.25">
      <c r="A40" s="65" t="s">
        <v>40</v>
      </c>
      <c r="B40" s="5" t="s">
        <v>41</v>
      </c>
      <c r="C40" s="17"/>
      <c r="D40" s="17"/>
      <c r="E40" s="17">
        <v>0</v>
      </c>
      <c r="F40" s="17"/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2" t="e">
        <f t="shared" si="3"/>
        <v>#DIV/0!</v>
      </c>
      <c r="N40" s="11"/>
    </row>
    <row r="41" spans="1:15" ht="16.350000000000001" customHeight="1" x14ac:dyDescent="0.25">
      <c r="A41" s="65" t="s">
        <v>37</v>
      </c>
      <c r="B41" s="5" t="s">
        <v>43</v>
      </c>
      <c r="C41" s="17">
        <f>C42+C46+C47</f>
        <v>52.132379999999998</v>
      </c>
      <c r="D41" s="17">
        <f t="shared" ref="D41:L41" si="8">D42+D46+D47</f>
        <v>58.329599999999999</v>
      </c>
      <c r="E41" s="17">
        <f t="shared" si="8"/>
        <v>302.48388</v>
      </c>
      <c r="F41" s="17"/>
      <c r="G41" s="17"/>
      <c r="H41" s="17">
        <f t="shared" si="8"/>
        <v>550.44323999999995</v>
      </c>
      <c r="I41" s="17">
        <f t="shared" si="8"/>
        <v>321.87813623840003</v>
      </c>
      <c r="J41" s="17">
        <f t="shared" si="8"/>
        <v>1238.15408</v>
      </c>
      <c r="K41" s="17">
        <f t="shared" si="8"/>
        <v>177.37612532640006</v>
      </c>
      <c r="L41" s="17">
        <f t="shared" si="8"/>
        <v>144.50201091200003</v>
      </c>
      <c r="M41" s="82">
        <f t="shared" si="3"/>
        <v>106.41166604924534</v>
      </c>
      <c r="N41" s="283" t="s">
        <v>188</v>
      </c>
    </row>
    <row r="42" spans="1:15" s="83" customFormat="1" ht="66.75" customHeight="1" x14ac:dyDescent="0.25">
      <c r="A42" s="119" t="s">
        <v>40</v>
      </c>
      <c r="B42" s="73" t="s">
        <v>44</v>
      </c>
      <c r="C42" s="17">
        <v>32.69</v>
      </c>
      <c r="D42" s="17">
        <v>44.8</v>
      </c>
      <c r="E42" s="17">
        <v>205.94</v>
      </c>
      <c r="F42" s="17"/>
      <c r="G42" s="17"/>
      <c r="H42" s="17">
        <v>373.62</v>
      </c>
      <c r="I42" s="17">
        <f>K42+L42</f>
        <v>244.85263920000006</v>
      </c>
      <c r="J42" s="17">
        <v>926.04</v>
      </c>
      <c r="K42" s="174">
        <f>4741*1.125*1.6*1.3*(0.5*1.84+0.5*1.23)*8/1000</f>
        <v>136.23358320000006</v>
      </c>
      <c r="L42" s="128">
        <f>5040*1.125*1.6*1.3*(0.5*1.84+0.5*1.23)*6/1000</f>
        <v>108.61905600000001</v>
      </c>
      <c r="M42" s="82">
        <f t="shared" si="3"/>
        <v>118.89513411673305</v>
      </c>
      <c r="N42" s="134" t="s">
        <v>307</v>
      </c>
      <c r="O42" s="113"/>
    </row>
    <row r="43" spans="1:15" s="113" customFormat="1" ht="63.75" customHeight="1" x14ac:dyDescent="0.2">
      <c r="A43" s="109" t="s">
        <v>183</v>
      </c>
      <c r="B43" s="110" t="s">
        <v>32</v>
      </c>
      <c r="C43" s="111">
        <v>1</v>
      </c>
      <c r="D43" s="111">
        <v>2.5</v>
      </c>
      <c r="E43" s="111">
        <v>1</v>
      </c>
      <c r="F43" s="111"/>
      <c r="G43" s="111"/>
      <c r="H43" s="111">
        <v>1.5</v>
      </c>
      <c r="I43" s="111">
        <v>1</v>
      </c>
      <c r="J43" s="111">
        <v>12.2</v>
      </c>
      <c r="K43" s="111">
        <v>1</v>
      </c>
      <c r="L43" s="111">
        <v>1</v>
      </c>
      <c r="M43" s="82">
        <f t="shared" si="3"/>
        <v>100</v>
      </c>
      <c r="N43" s="22" t="s">
        <v>306</v>
      </c>
    </row>
    <row r="44" spans="1:15" s="9" customFormat="1" ht="17.45" hidden="1" customHeight="1" x14ac:dyDescent="0.2">
      <c r="A44" s="66" t="s">
        <v>258</v>
      </c>
      <c r="B44" s="14" t="s">
        <v>34</v>
      </c>
      <c r="C44" s="130"/>
      <c r="D44" s="130"/>
      <c r="E44" s="111">
        <v>4.5999999999999996</v>
      </c>
      <c r="F44" s="111"/>
      <c r="G44" s="111"/>
      <c r="H44" s="111">
        <v>4.5999999999999996</v>
      </c>
      <c r="I44" s="111">
        <v>4.5999999999999996</v>
      </c>
      <c r="J44" s="111">
        <v>4.6500000000000004</v>
      </c>
      <c r="K44" s="111">
        <v>4.5999999999999996</v>
      </c>
      <c r="L44" s="111">
        <v>4.5999999999999996</v>
      </c>
      <c r="M44" s="82">
        <f t="shared" si="3"/>
        <v>100</v>
      </c>
      <c r="N44" s="16"/>
    </row>
    <row r="45" spans="1:15" s="113" customFormat="1" ht="18.600000000000001" customHeight="1" x14ac:dyDescent="0.2">
      <c r="A45" s="109" t="s">
        <v>184</v>
      </c>
      <c r="B45" s="110" t="s">
        <v>36</v>
      </c>
      <c r="C45" s="111">
        <v>16345</v>
      </c>
      <c r="D45" s="111">
        <v>8960</v>
      </c>
      <c r="E45" s="111">
        <f>E42/E43/12*1000</f>
        <v>17161.666666666664</v>
      </c>
      <c r="F45" s="111"/>
      <c r="G45" s="111"/>
      <c r="H45" s="111">
        <f>H42/H43/12*1000</f>
        <v>20756.666666666668</v>
      </c>
      <c r="I45" s="111">
        <f>I42/I43/14*1000</f>
        <v>17489.474228571431</v>
      </c>
      <c r="J45" s="111">
        <f>J42/J43/12*1000</f>
        <v>6325.4098360655735</v>
      </c>
      <c r="K45" s="111">
        <f>K42/K43/8*1000</f>
        <v>17029.197900000006</v>
      </c>
      <c r="L45" s="111">
        <f>L42/L43/6*1000</f>
        <v>18103.175999999999</v>
      </c>
      <c r="M45" s="82">
        <f t="shared" si="3"/>
        <v>101.91011495719977</v>
      </c>
      <c r="N45" s="135"/>
    </row>
    <row r="46" spans="1:15" s="83" customFormat="1" ht="19.350000000000001" customHeight="1" x14ac:dyDescent="0.25">
      <c r="A46" s="119" t="s">
        <v>42</v>
      </c>
      <c r="B46" s="131" t="s">
        <v>38</v>
      </c>
      <c r="C46" s="17">
        <f t="shared" ref="C46:L46" si="9">C42*C39/100</f>
        <v>9.8723799999999997</v>
      </c>
      <c r="D46" s="17">
        <f t="shared" si="9"/>
        <v>13.529599999999999</v>
      </c>
      <c r="E46" s="17">
        <f t="shared" si="9"/>
        <v>62.19388</v>
      </c>
      <c r="F46" s="17"/>
      <c r="G46" s="17"/>
      <c r="H46" s="17">
        <f t="shared" si="9"/>
        <v>112.83324</v>
      </c>
      <c r="I46" s="17">
        <f t="shared" si="9"/>
        <v>73.945497038400021</v>
      </c>
      <c r="J46" s="17">
        <f t="shared" si="9"/>
        <v>279.66408000000001</v>
      </c>
      <c r="K46" s="17">
        <f t="shared" si="9"/>
        <v>41.142542126400009</v>
      </c>
      <c r="L46" s="17">
        <f t="shared" si="9"/>
        <v>32.802954912000004</v>
      </c>
      <c r="M46" s="82">
        <f t="shared" si="3"/>
        <v>118.89513411673308</v>
      </c>
      <c r="N46" s="107"/>
    </row>
    <row r="47" spans="1:15" s="83" customFormat="1" ht="19.350000000000001" customHeight="1" x14ac:dyDescent="0.25">
      <c r="A47" s="119" t="s">
        <v>45</v>
      </c>
      <c r="B47" s="131" t="s">
        <v>46</v>
      </c>
      <c r="C47" s="136">
        <v>9.57</v>
      </c>
      <c r="D47" s="136">
        <v>0</v>
      </c>
      <c r="E47" s="17">
        <v>34.35</v>
      </c>
      <c r="F47" s="17"/>
      <c r="G47" s="17"/>
      <c r="H47" s="17">
        <v>63.99</v>
      </c>
      <c r="I47" s="17">
        <v>3.08</v>
      </c>
      <c r="J47" s="17">
        <v>32.450000000000003</v>
      </c>
      <c r="K47" s="17">
        <v>0</v>
      </c>
      <c r="L47" s="17">
        <v>3.08</v>
      </c>
      <c r="M47" s="82">
        <f t="shared" si="3"/>
        <v>8.9665211062590977</v>
      </c>
      <c r="N47" s="137" t="s">
        <v>308</v>
      </c>
    </row>
    <row r="48" spans="1:15" ht="19.350000000000001" hidden="1" customHeight="1" x14ac:dyDescent="0.25">
      <c r="A48" s="65" t="s">
        <v>47</v>
      </c>
      <c r="B48" s="15" t="s">
        <v>48</v>
      </c>
      <c r="C48" s="136"/>
      <c r="D48" s="136"/>
      <c r="E48" s="17"/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2" t="e">
        <f t="shared" si="3"/>
        <v>#DIV/0!</v>
      </c>
      <c r="N48" s="2"/>
    </row>
    <row r="49" spans="1:17" ht="52.7" hidden="1" customHeight="1" x14ac:dyDescent="0.25">
      <c r="A49" s="65" t="s">
        <v>49</v>
      </c>
      <c r="B49" s="5" t="s">
        <v>50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82" t="e">
        <f t="shared" si="3"/>
        <v>#DIV/0!</v>
      </c>
      <c r="N49" s="2"/>
    </row>
    <row r="50" spans="1:17" s="19" customFormat="1" ht="21" customHeight="1" x14ac:dyDescent="0.2">
      <c r="A50" s="67" t="s">
        <v>51</v>
      </c>
      <c r="B50" s="18" t="s">
        <v>52</v>
      </c>
      <c r="C50" s="124">
        <f t="shared" ref="C50:D50" si="10">C51+C56+C57+C61</f>
        <v>87.839999999999989</v>
      </c>
      <c r="D50" s="124">
        <f t="shared" si="10"/>
        <v>57.78</v>
      </c>
      <c r="E50" s="124">
        <f>E51+E56+E57+E61</f>
        <v>494.25070000000005</v>
      </c>
      <c r="F50" s="124"/>
      <c r="G50" s="124"/>
      <c r="H50" s="124">
        <f t="shared" ref="H50:L50" si="11">H51+H56+H57+H61</f>
        <v>907.10205999999994</v>
      </c>
      <c r="I50" s="124">
        <f t="shared" si="11"/>
        <v>584.76441092480002</v>
      </c>
      <c r="J50" s="124">
        <f t="shared" si="11"/>
        <v>2546.6791399999997</v>
      </c>
      <c r="K50" s="124">
        <f t="shared" si="11"/>
        <v>327.7881084608</v>
      </c>
      <c r="L50" s="124">
        <f t="shared" si="11"/>
        <v>256.97630246399996</v>
      </c>
      <c r="M50" s="82">
        <f t="shared" si="3"/>
        <v>118.31331972312836</v>
      </c>
      <c r="N50" s="20"/>
    </row>
    <row r="51" spans="1:17" s="83" customFormat="1" ht="31.5" x14ac:dyDescent="0.25">
      <c r="A51" s="119" t="s">
        <v>53</v>
      </c>
      <c r="B51" s="73" t="s">
        <v>54</v>
      </c>
      <c r="C51" s="17">
        <f t="shared" ref="C51:L51" si="12">C52+C53</f>
        <v>12.18</v>
      </c>
      <c r="D51" s="17">
        <f t="shared" si="12"/>
        <v>33.950000000000003</v>
      </c>
      <c r="E51" s="17">
        <f t="shared" si="12"/>
        <v>15.31</v>
      </c>
      <c r="F51" s="17"/>
      <c r="G51" s="17"/>
      <c r="H51" s="17">
        <f t="shared" si="12"/>
        <v>58.81</v>
      </c>
      <c r="I51" s="17">
        <f t="shared" si="12"/>
        <v>5.48</v>
      </c>
      <c r="J51" s="17">
        <f t="shared" si="12"/>
        <v>777.17000000000007</v>
      </c>
      <c r="K51" s="17">
        <f t="shared" si="12"/>
        <v>5.48</v>
      </c>
      <c r="L51" s="17">
        <f t="shared" si="12"/>
        <v>0</v>
      </c>
      <c r="M51" s="82">
        <f t="shared" si="3"/>
        <v>35.793598954931419</v>
      </c>
      <c r="N51" s="126"/>
    </row>
    <row r="52" spans="1:17" s="287" customFormat="1" ht="46.5" customHeight="1" x14ac:dyDescent="0.25">
      <c r="A52" s="288" t="s">
        <v>55</v>
      </c>
      <c r="B52" s="289" t="s">
        <v>56</v>
      </c>
      <c r="C52" s="290">
        <v>12.18</v>
      </c>
      <c r="D52" s="290">
        <v>33.950000000000003</v>
      </c>
      <c r="E52" s="290">
        <v>15.31</v>
      </c>
      <c r="F52" s="290"/>
      <c r="G52" s="290"/>
      <c r="H52" s="290">
        <v>58.81</v>
      </c>
      <c r="I52" s="290">
        <v>5.48</v>
      </c>
      <c r="J52" s="290">
        <v>302.29000000000002</v>
      </c>
      <c r="K52" s="290">
        <v>5.48</v>
      </c>
      <c r="L52" s="290">
        <f>I52-K52</f>
        <v>0</v>
      </c>
      <c r="M52" s="291">
        <f t="shared" si="3"/>
        <v>35.793598954931419</v>
      </c>
      <c r="N52" s="292" t="s">
        <v>309</v>
      </c>
    </row>
    <row r="53" spans="1:17" ht="31.5" hidden="1" x14ac:dyDescent="0.25">
      <c r="A53" s="65" t="s">
        <v>57</v>
      </c>
      <c r="B53" s="21" t="s">
        <v>58</v>
      </c>
      <c r="C53" s="17"/>
      <c r="D53" s="17"/>
      <c r="E53" s="17">
        <v>0</v>
      </c>
      <c r="F53" s="17"/>
      <c r="G53" s="17"/>
      <c r="H53" s="17">
        <v>0</v>
      </c>
      <c r="I53" s="17">
        <v>0</v>
      </c>
      <c r="J53" s="17">
        <v>474.88</v>
      </c>
      <c r="K53" s="17">
        <v>0</v>
      </c>
      <c r="L53" s="17">
        <v>0</v>
      </c>
      <c r="M53" s="82" t="e">
        <f t="shared" si="3"/>
        <v>#DIV/0!</v>
      </c>
      <c r="N53" s="13" t="s">
        <v>59</v>
      </c>
    </row>
    <row r="54" spans="1:17" ht="31.5" hidden="1" x14ac:dyDescent="0.25">
      <c r="A54" s="65" t="s">
        <v>60</v>
      </c>
      <c r="B54" s="5" t="s">
        <v>61</v>
      </c>
      <c r="C54" s="17"/>
      <c r="D54" s="17"/>
      <c r="E54" s="17"/>
      <c r="F54" s="17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2" t="e">
        <f t="shared" si="3"/>
        <v>#DIV/0!</v>
      </c>
      <c r="N54" s="2"/>
    </row>
    <row r="55" spans="1:17" ht="31.5" hidden="1" x14ac:dyDescent="0.25">
      <c r="A55" s="65" t="s">
        <v>62</v>
      </c>
      <c r="B55" s="5" t="s">
        <v>63</v>
      </c>
      <c r="C55" s="17"/>
      <c r="D55" s="17"/>
      <c r="E55" s="17"/>
      <c r="F55" s="17"/>
      <c r="G55" s="17"/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82" t="e">
        <f t="shared" si="3"/>
        <v>#DIV/0!</v>
      </c>
      <c r="N55" s="2"/>
    </row>
    <row r="56" spans="1:17" s="83" customFormat="1" ht="20.45" customHeight="1" x14ac:dyDescent="0.25">
      <c r="A56" s="119" t="s">
        <v>64</v>
      </c>
      <c r="B56" s="73" t="s">
        <v>65</v>
      </c>
      <c r="C56" s="17">
        <v>0</v>
      </c>
      <c r="D56" s="17">
        <v>0</v>
      </c>
      <c r="E56" s="17">
        <v>0</v>
      </c>
      <c r="F56" s="17"/>
      <c r="G56" s="17"/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82"/>
      <c r="N56" s="126"/>
    </row>
    <row r="57" spans="1:17" s="83" customFormat="1" ht="60" x14ac:dyDescent="0.25">
      <c r="A57" s="119" t="s">
        <v>66</v>
      </c>
      <c r="B57" s="73" t="s">
        <v>67</v>
      </c>
      <c r="C57" s="17">
        <v>58.39</v>
      </c>
      <c r="D57" s="17">
        <v>18.3</v>
      </c>
      <c r="E57" s="17">
        <v>367.85</v>
      </c>
      <c r="F57" s="17"/>
      <c r="G57" s="17"/>
      <c r="H57" s="17">
        <v>651.53</v>
      </c>
      <c r="I57" s="17">
        <f>K57+L57</f>
        <v>444.91890239999998</v>
      </c>
      <c r="J57" s="17">
        <v>1359.07</v>
      </c>
      <c r="K57" s="132">
        <f>4741*1.125*1.6*1.4*(1*1.23+1*1.36)*8/1000</f>
        <v>247.54847040000001</v>
      </c>
      <c r="L57" s="133">
        <f>5040*1.125*1.6*1.4*(1*1.23+1*1.36)*6/1000</f>
        <v>197.37043199999997</v>
      </c>
      <c r="M57" s="82">
        <f t="shared" si="3"/>
        <v>120.95117640342529</v>
      </c>
      <c r="N57" s="134" t="s">
        <v>302</v>
      </c>
      <c r="O57" s="113"/>
    </row>
    <row r="58" spans="1:17" s="113" customFormat="1" ht="39.75" customHeight="1" x14ac:dyDescent="0.2">
      <c r="A58" s="109" t="s">
        <v>68</v>
      </c>
      <c r="B58" s="110" t="s">
        <v>69</v>
      </c>
      <c r="C58" s="111">
        <v>2</v>
      </c>
      <c r="D58" s="111">
        <v>3</v>
      </c>
      <c r="E58" s="111">
        <v>2</v>
      </c>
      <c r="F58" s="111"/>
      <c r="G58" s="111"/>
      <c r="H58" s="111">
        <v>3</v>
      </c>
      <c r="I58" s="111">
        <v>2</v>
      </c>
      <c r="J58" s="111">
        <v>15</v>
      </c>
      <c r="K58" s="111">
        <v>2</v>
      </c>
      <c r="L58" s="111">
        <v>2</v>
      </c>
      <c r="M58" s="82">
        <f t="shared" si="3"/>
        <v>100</v>
      </c>
      <c r="N58" s="22" t="s">
        <v>303</v>
      </c>
    </row>
    <row r="59" spans="1:17" s="113" customFormat="1" ht="15.75" x14ac:dyDescent="0.2">
      <c r="A59" s="109" t="s">
        <v>70</v>
      </c>
      <c r="B59" s="129" t="s">
        <v>34</v>
      </c>
      <c r="C59" s="130">
        <v>3.5</v>
      </c>
      <c r="D59" s="130">
        <v>3</v>
      </c>
      <c r="E59" s="111">
        <v>3.5</v>
      </c>
      <c r="F59" s="111"/>
      <c r="G59" s="111"/>
      <c r="H59" s="111">
        <v>3.3</v>
      </c>
      <c r="I59" s="111">
        <v>3.5</v>
      </c>
      <c r="J59" s="111">
        <v>3.2</v>
      </c>
      <c r="K59" s="111">
        <v>3.5</v>
      </c>
      <c r="L59" s="111">
        <v>3.5</v>
      </c>
      <c r="M59" s="82">
        <f t="shared" si="3"/>
        <v>100</v>
      </c>
      <c r="N59" s="135"/>
    </row>
    <row r="60" spans="1:17" s="113" customFormat="1" ht="15.75" x14ac:dyDescent="0.2">
      <c r="A60" s="109" t="s">
        <v>71</v>
      </c>
      <c r="B60" s="110" t="s">
        <v>36</v>
      </c>
      <c r="C60" s="111">
        <v>14597.5</v>
      </c>
      <c r="D60" s="111">
        <v>3050</v>
      </c>
      <c r="E60" s="111">
        <v>15327.08</v>
      </c>
      <c r="F60" s="111"/>
      <c r="G60" s="111"/>
      <c r="H60" s="111">
        <f t="shared" ref="H60:J60" si="13">H57/H58/12*1000</f>
        <v>18098.055555555555</v>
      </c>
      <c r="I60" s="111">
        <f>I57/I58/14*1000</f>
        <v>15889.960799999999</v>
      </c>
      <c r="J60" s="111">
        <f t="shared" si="13"/>
        <v>7550.3888888888887</v>
      </c>
      <c r="K60" s="111">
        <f>K57/K58/8*1000</f>
        <v>15471.779400000001</v>
      </c>
      <c r="L60" s="111">
        <f>L57/L58/6*1000</f>
        <v>16447.535999999996</v>
      </c>
      <c r="M60" s="82">
        <f t="shared" si="3"/>
        <v>103.6724594639031</v>
      </c>
      <c r="N60" s="135"/>
    </row>
    <row r="61" spans="1:17" s="83" customFormat="1" ht="15.75" x14ac:dyDescent="0.25">
      <c r="A61" s="138" t="s">
        <v>72</v>
      </c>
      <c r="B61" s="131" t="s">
        <v>38</v>
      </c>
      <c r="C61" s="17">
        <v>17.27</v>
      </c>
      <c r="D61" s="17">
        <v>5.53</v>
      </c>
      <c r="E61" s="17">
        <f t="shared" ref="E61:L61" si="14">E57*E39/100</f>
        <v>111.0907</v>
      </c>
      <c r="F61" s="17"/>
      <c r="G61" s="17"/>
      <c r="H61" s="17">
        <f t="shared" si="14"/>
        <v>196.76205999999999</v>
      </c>
      <c r="I61" s="17">
        <f t="shared" si="14"/>
        <v>134.36550852479999</v>
      </c>
      <c r="J61" s="17">
        <f t="shared" si="14"/>
        <v>410.43913999999995</v>
      </c>
      <c r="K61" s="17">
        <f t="shared" si="14"/>
        <v>74.7596380608</v>
      </c>
      <c r="L61" s="17">
        <f t="shared" si="14"/>
        <v>59.605870463999992</v>
      </c>
      <c r="M61" s="82">
        <f t="shared" si="3"/>
        <v>120.95117640342529</v>
      </c>
      <c r="N61" s="107"/>
    </row>
    <row r="62" spans="1:17" s="19" customFormat="1" ht="34.700000000000003" customHeight="1" x14ac:dyDescent="0.2">
      <c r="A62" s="67" t="s">
        <v>73</v>
      </c>
      <c r="B62" s="3" t="s">
        <v>74</v>
      </c>
      <c r="C62" s="124">
        <f t="shared" ref="C62:L62" si="15">C63+C64+C67+C68+C70+C76+C79</f>
        <v>69.354420000000005</v>
      </c>
      <c r="D62" s="124">
        <f t="shared" si="15"/>
        <v>77.604599999999991</v>
      </c>
      <c r="E62" s="124">
        <f t="shared" si="15"/>
        <v>414.89188000000001</v>
      </c>
      <c r="F62" s="124"/>
      <c r="G62" s="124"/>
      <c r="H62" s="124">
        <f t="shared" si="15"/>
        <v>1869.3824</v>
      </c>
      <c r="I62" s="124">
        <f t="shared" si="15"/>
        <v>567.78305333333333</v>
      </c>
      <c r="J62" s="124">
        <f t="shared" si="15"/>
        <v>2117.6843000000003</v>
      </c>
      <c r="K62" s="124">
        <f t="shared" si="15"/>
        <v>323.73317333333335</v>
      </c>
      <c r="L62" s="124">
        <f t="shared" si="15"/>
        <v>244.04988</v>
      </c>
      <c r="M62" s="82">
        <f t="shared" si="3"/>
        <v>136.85084734204327</v>
      </c>
      <c r="N62" s="20"/>
      <c r="Q62" s="286"/>
    </row>
    <row r="63" spans="1:17" s="83" customFormat="1" ht="31.5" x14ac:dyDescent="0.25">
      <c r="A63" s="127" t="s">
        <v>75</v>
      </c>
      <c r="B63" s="73" t="s">
        <v>76</v>
      </c>
      <c r="C63" s="17">
        <v>0</v>
      </c>
      <c r="D63" s="17">
        <v>0</v>
      </c>
      <c r="E63" s="17">
        <v>0</v>
      </c>
      <c r="F63" s="17"/>
      <c r="G63" s="17"/>
      <c r="H63" s="132">
        <v>0</v>
      </c>
      <c r="I63" s="132">
        <v>0</v>
      </c>
      <c r="J63" s="150"/>
      <c r="K63" s="132">
        <v>0</v>
      </c>
      <c r="L63" s="132">
        <v>0</v>
      </c>
      <c r="M63" s="82"/>
      <c r="N63" s="107"/>
    </row>
    <row r="64" spans="1:17" s="83" customFormat="1" ht="45" x14ac:dyDescent="0.25">
      <c r="A64" s="127" t="s">
        <v>77</v>
      </c>
      <c r="B64" s="73" t="s">
        <v>78</v>
      </c>
      <c r="C64" s="17">
        <v>35.71</v>
      </c>
      <c r="D64" s="17">
        <v>57.3</v>
      </c>
      <c r="E64" s="17">
        <v>224.94</v>
      </c>
      <c r="F64" s="17"/>
      <c r="G64" s="17"/>
      <c r="H64" s="17">
        <v>1326.2</v>
      </c>
      <c r="I64" s="17">
        <f>K64+L64</f>
        <v>358.36</v>
      </c>
      <c r="J64" s="17">
        <v>1068.67</v>
      </c>
      <c r="K64" s="17">
        <f>O64/14*8</f>
        <v>204.77714285714288</v>
      </c>
      <c r="L64" s="17">
        <f>O64/14*6</f>
        <v>153.58285714285716</v>
      </c>
      <c r="M64" s="82">
        <f t="shared" si="3"/>
        <v>159.31359473637414</v>
      </c>
      <c r="N64" s="22" t="s">
        <v>310</v>
      </c>
      <c r="O64" s="83">
        <v>358.36</v>
      </c>
    </row>
    <row r="65" spans="1:15" s="113" customFormat="1" ht="25.5" customHeight="1" x14ac:dyDescent="0.2">
      <c r="A65" s="109" t="s">
        <v>79</v>
      </c>
      <c r="B65" s="110" t="s">
        <v>80</v>
      </c>
      <c r="C65" s="111">
        <v>0.31</v>
      </c>
      <c r="D65" s="111">
        <v>0.31</v>
      </c>
      <c r="E65" s="111">
        <v>0.54</v>
      </c>
      <c r="F65" s="111"/>
      <c r="G65" s="111"/>
      <c r="H65" s="111">
        <v>3</v>
      </c>
      <c r="I65" s="111">
        <v>0.73</v>
      </c>
      <c r="J65" s="111">
        <v>7</v>
      </c>
      <c r="K65" s="111">
        <v>0.73</v>
      </c>
      <c r="L65" s="111">
        <v>0.73</v>
      </c>
      <c r="M65" s="82">
        <f t="shared" si="3"/>
        <v>135.18518518518516</v>
      </c>
      <c r="N65" s="23"/>
    </row>
    <row r="66" spans="1:15" s="113" customFormat="1" ht="29.25" customHeight="1" x14ac:dyDescent="0.2">
      <c r="A66" s="109" t="s">
        <v>185</v>
      </c>
      <c r="B66" s="110" t="s">
        <v>36</v>
      </c>
      <c r="C66" s="111">
        <f t="shared" ref="C66:J66" si="16">C64/C65/12*1000</f>
        <v>9599.4623655913983</v>
      </c>
      <c r="D66" s="111">
        <v>9550</v>
      </c>
      <c r="E66" s="111">
        <f>E64/E65/12*1000</f>
        <v>34712.962962962964</v>
      </c>
      <c r="F66" s="111"/>
      <c r="G66" s="111"/>
      <c r="H66" s="111">
        <f t="shared" si="16"/>
        <v>36838.888888888891</v>
      </c>
      <c r="I66" s="111">
        <f>I64/I65/14*1000</f>
        <v>35064.579256360084</v>
      </c>
      <c r="J66" s="111">
        <f t="shared" si="16"/>
        <v>12722.261904761906</v>
      </c>
      <c r="K66" s="111">
        <f>K64/K65/8*1000</f>
        <v>35064.579256360084</v>
      </c>
      <c r="L66" s="111">
        <f>L64/L65/6*1000</f>
        <v>35064.579256360084</v>
      </c>
      <c r="M66" s="82">
        <f t="shared" si="3"/>
        <v>101.01292503832727</v>
      </c>
      <c r="N66" s="23"/>
    </row>
    <row r="67" spans="1:15" s="83" customFormat="1" ht="15.75" x14ac:dyDescent="0.25">
      <c r="A67" s="127" t="s">
        <v>81</v>
      </c>
      <c r="B67" s="131" t="s">
        <v>38</v>
      </c>
      <c r="C67" s="17">
        <f t="shared" ref="C67:L67" si="17">C64*C39/100</f>
        <v>10.784420000000001</v>
      </c>
      <c r="D67" s="17">
        <f t="shared" si="17"/>
        <v>17.304599999999997</v>
      </c>
      <c r="E67" s="17">
        <f t="shared" si="17"/>
        <v>67.931880000000007</v>
      </c>
      <c r="F67" s="17"/>
      <c r="G67" s="17"/>
      <c r="H67" s="17">
        <f t="shared" si="17"/>
        <v>400.51239999999996</v>
      </c>
      <c r="I67" s="17">
        <f t="shared" si="17"/>
        <v>108.22471999999999</v>
      </c>
      <c r="J67" s="17">
        <f t="shared" si="17"/>
        <v>322.73834000000005</v>
      </c>
      <c r="K67" s="17">
        <f t="shared" si="17"/>
        <v>61.842697142857148</v>
      </c>
      <c r="L67" s="17">
        <f t="shared" si="17"/>
        <v>46.382022857142864</v>
      </c>
      <c r="M67" s="82">
        <f t="shared" si="3"/>
        <v>159.31359473637411</v>
      </c>
      <c r="N67" s="107"/>
    </row>
    <row r="68" spans="1:15" s="83" customFormat="1" ht="15.75" hidden="1" x14ac:dyDescent="0.25">
      <c r="A68" s="127" t="s">
        <v>82</v>
      </c>
      <c r="B68" s="73" t="s">
        <v>83</v>
      </c>
      <c r="C68" s="17">
        <v>0</v>
      </c>
      <c r="D68" s="17">
        <v>0</v>
      </c>
      <c r="E68" s="17">
        <v>0</v>
      </c>
      <c r="F68" s="17"/>
      <c r="G68" s="17"/>
      <c r="H68" s="17">
        <v>0</v>
      </c>
      <c r="I68" s="17">
        <v>0</v>
      </c>
      <c r="J68" s="17">
        <v>106.92</v>
      </c>
      <c r="K68" s="17">
        <v>0</v>
      </c>
      <c r="L68" s="17">
        <v>0</v>
      </c>
      <c r="M68" s="82"/>
      <c r="N68" s="107"/>
    </row>
    <row r="69" spans="1:15" s="83" customFormat="1" ht="30" hidden="1" customHeight="1" x14ac:dyDescent="0.25">
      <c r="A69" s="109" t="s">
        <v>84</v>
      </c>
      <c r="B69" s="110" t="s">
        <v>80</v>
      </c>
      <c r="C69" s="111">
        <v>0</v>
      </c>
      <c r="D69" s="111">
        <v>0</v>
      </c>
      <c r="E69" s="111">
        <v>0</v>
      </c>
      <c r="F69" s="111"/>
      <c r="G69" s="111"/>
      <c r="H69" s="111">
        <v>0</v>
      </c>
      <c r="I69" s="111">
        <v>0</v>
      </c>
      <c r="J69" s="111">
        <v>1.6</v>
      </c>
      <c r="K69" s="111">
        <v>0</v>
      </c>
      <c r="L69" s="111">
        <v>0</v>
      </c>
      <c r="M69" s="82"/>
      <c r="N69" s="12"/>
    </row>
    <row r="70" spans="1:15" s="83" customFormat="1" ht="15.75" hidden="1" x14ac:dyDescent="0.25">
      <c r="A70" s="127" t="s">
        <v>85</v>
      </c>
      <c r="B70" s="131" t="s">
        <v>38</v>
      </c>
      <c r="C70" s="136">
        <v>0</v>
      </c>
      <c r="D70" s="136">
        <v>0</v>
      </c>
      <c r="E70" s="17">
        <v>0</v>
      </c>
      <c r="F70" s="17"/>
      <c r="G70" s="17"/>
      <c r="H70" s="17">
        <v>0</v>
      </c>
      <c r="I70" s="17">
        <v>0</v>
      </c>
      <c r="J70" s="17">
        <f>J68*31.3/100</f>
        <v>33.465960000000003</v>
      </c>
      <c r="K70" s="17">
        <f>K68*31.3/100</f>
        <v>0</v>
      </c>
      <c r="L70" s="17">
        <f>L68*31.3/100</f>
        <v>0</v>
      </c>
      <c r="M70" s="82"/>
      <c r="N70" s="126"/>
    </row>
    <row r="71" spans="1:15" ht="31.5" hidden="1" x14ac:dyDescent="0.25">
      <c r="A71" s="65" t="s">
        <v>86</v>
      </c>
      <c r="B71" s="15" t="s">
        <v>87</v>
      </c>
      <c r="C71" s="136"/>
      <c r="D71" s="136"/>
      <c r="E71" s="17"/>
      <c r="F71" s="17"/>
      <c r="G71" s="17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2" t="e">
        <f t="shared" si="3"/>
        <v>#DIV/0!</v>
      </c>
      <c r="N71" s="11"/>
    </row>
    <row r="72" spans="1:15" ht="15.75" hidden="1" x14ac:dyDescent="0.25">
      <c r="A72" s="65" t="s">
        <v>88</v>
      </c>
      <c r="B72" s="15" t="s">
        <v>89</v>
      </c>
      <c r="C72" s="136"/>
      <c r="D72" s="136"/>
      <c r="E72" s="17"/>
      <c r="F72" s="17"/>
      <c r="G72" s="17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2" t="e">
        <f t="shared" si="3"/>
        <v>#DIV/0!</v>
      </c>
      <c r="N72" s="11"/>
    </row>
    <row r="73" spans="1:15" ht="21.6" hidden="1" customHeight="1" x14ac:dyDescent="0.25">
      <c r="A73" s="65" t="s">
        <v>90</v>
      </c>
      <c r="B73" s="15" t="s">
        <v>91</v>
      </c>
      <c r="C73" s="136"/>
      <c r="D73" s="136"/>
      <c r="E73" s="17"/>
      <c r="F73" s="17"/>
      <c r="G73" s="17"/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82" t="e">
        <f t="shared" si="3"/>
        <v>#DIV/0!</v>
      </c>
      <c r="N73" s="11"/>
    </row>
    <row r="74" spans="1:15" ht="19.350000000000001" hidden="1" customHeight="1" x14ac:dyDescent="0.25">
      <c r="A74" s="65" t="s">
        <v>92</v>
      </c>
      <c r="B74" s="15" t="s">
        <v>93</v>
      </c>
      <c r="C74" s="136"/>
      <c r="D74" s="136"/>
      <c r="E74" s="17"/>
      <c r="F74" s="17"/>
      <c r="G74" s="17"/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82" t="e">
        <f t="shared" si="3"/>
        <v>#DIV/0!</v>
      </c>
      <c r="N74" s="11"/>
    </row>
    <row r="75" spans="1:15" ht="32.450000000000003" hidden="1" customHeight="1" x14ac:dyDescent="0.25">
      <c r="A75" s="65" t="s">
        <v>94</v>
      </c>
      <c r="B75" s="15" t="s">
        <v>95</v>
      </c>
      <c r="C75" s="136"/>
      <c r="D75" s="136"/>
      <c r="E75" s="17"/>
      <c r="F75" s="17"/>
      <c r="G75" s="17"/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82" t="e">
        <f t="shared" si="3"/>
        <v>#DIV/0!</v>
      </c>
      <c r="N75" s="11"/>
    </row>
    <row r="76" spans="1:15" ht="32.450000000000003" customHeight="1" x14ac:dyDescent="0.25">
      <c r="A76" s="65" t="s">
        <v>86</v>
      </c>
      <c r="B76" s="15" t="s">
        <v>96</v>
      </c>
      <c r="C76" s="17">
        <v>19.829999999999998</v>
      </c>
      <c r="D76" s="17">
        <v>0</v>
      </c>
      <c r="E76" s="17">
        <v>118.99</v>
      </c>
      <c r="F76" s="17"/>
      <c r="G76" s="17"/>
      <c r="H76" s="17">
        <v>125.7</v>
      </c>
      <c r="I76" s="17">
        <f>K76+L76</f>
        <v>98.898333333333326</v>
      </c>
      <c r="J76" s="17">
        <v>314.58999999999997</v>
      </c>
      <c r="K76" s="17">
        <f>O76/14*8</f>
        <v>56.513333333333328</v>
      </c>
      <c r="L76" s="17">
        <f>O76/14*6</f>
        <v>42.384999999999998</v>
      </c>
      <c r="M76" s="82">
        <f>I76/E76*100</f>
        <v>83.114827576547043</v>
      </c>
      <c r="N76" s="22" t="s">
        <v>409</v>
      </c>
      <c r="O76">
        <f>84.77/12*14</f>
        <v>98.898333333333326</v>
      </c>
    </row>
    <row r="77" spans="1:15" ht="32.450000000000003" hidden="1" customHeight="1" x14ac:dyDescent="0.25">
      <c r="A77" s="65" t="s">
        <v>97</v>
      </c>
      <c r="B77" s="15" t="s">
        <v>98</v>
      </c>
      <c r="C77" s="136"/>
      <c r="D77" s="136"/>
      <c r="E77" s="17"/>
      <c r="F77" s="17"/>
      <c r="G77" s="17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82" t="e">
        <f t="shared" si="3"/>
        <v>#DIV/0!</v>
      </c>
      <c r="N77" s="11"/>
    </row>
    <row r="78" spans="1:15" ht="32.450000000000003" hidden="1" customHeight="1" x14ac:dyDescent="0.25">
      <c r="A78" s="65" t="s">
        <v>99</v>
      </c>
      <c r="B78" s="15" t="s">
        <v>100</v>
      </c>
      <c r="C78" s="136"/>
      <c r="D78" s="136"/>
      <c r="E78" s="17"/>
      <c r="F78" s="17"/>
      <c r="G78" s="17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82" t="e">
        <f t="shared" ref="M78:M104" si="18">I78/E78*100</f>
        <v>#DIV/0!</v>
      </c>
      <c r="N78" s="11"/>
    </row>
    <row r="79" spans="1:15" s="83" customFormat="1" ht="49.5" customHeight="1" x14ac:dyDescent="0.25">
      <c r="A79" s="127" t="s">
        <v>88</v>
      </c>
      <c r="B79" s="73" t="s">
        <v>101</v>
      </c>
      <c r="C79" s="17">
        <v>3.03</v>
      </c>
      <c r="D79" s="17">
        <v>3</v>
      </c>
      <c r="E79" s="17">
        <v>3.03</v>
      </c>
      <c r="F79" s="17"/>
      <c r="G79" s="17"/>
      <c r="H79" s="17">
        <v>16.97</v>
      </c>
      <c r="I79" s="17">
        <f>K79+L79</f>
        <v>2.2999999999999998</v>
      </c>
      <c r="J79" s="17">
        <v>271.3</v>
      </c>
      <c r="K79" s="17">
        <v>0.6</v>
      </c>
      <c r="L79" s="17">
        <v>1.7</v>
      </c>
      <c r="M79" s="82">
        <f t="shared" si="18"/>
        <v>75.907590759075902</v>
      </c>
      <c r="N79" s="22"/>
      <c r="O79" s="83">
        <f>2.98/12*14</f>
        <v>3.4766666666666666</v>
      </c>
    </row>
    <row r="80" spans="1:15" ht="31.5" hidden="1" x14ac:dyDescent="0.25">
      <c r="A80" s="67" t="s">
        <v>102</v>
      </c>
      <c r="B80" s="3" t="s">
        <v>103</v>
      </c>
      <c r="C80" s="124"/>
      <c r="D80" s="124"/>
      <c r="E80" s="124"/>
      <c r="F80" s="124"/>
      <c r="G80" s="124"/>
      <c r="H80" s="17">
        <f>H81+H82+H84+H85</f>
        <v>0</v>
      </c>
      <c r="I80" s="17">
        <f>I81+I82+I84+I85</f>
        <v>0</v>
      </c>
      <c r="J80" s="17">
        <f>J81+J82+J84+J85</f>
        <v>0</v>
      </c>
      <c r="K80" s="17">
        <f>K81+K82+K84+K85</f>
        <v>0</v>
      </c>
      <c r="L80" s="17">
        <f>L81+L82+L84+L85</f>
        <v>0</v>
      </c>
      <c r="M80" s="82" t="e">
        <f t="shared" si="18"/>
        <v>#DIV/0!</v>
      </c>
      <c r="N80" s="11"/>
    </row>
    <row r="81" spans="1:15" ht="31.5" hidden="1" x14ac:dyDescent="0.25">
      <c r="A81" s="65" t="s">
        <v>104</v>
      </c>
      <c r="B81" s="5" t="s">
        <v>105</v>
      </c>
      <c r="C81" s="17"/>
      <c r="D81" s="17"/>
      <c r="E81" s="17"/>
      <c r="F81" s="17"/>
      <c r="G81" s="17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2" t="e">
        <f t="shared" si="18"/>
        <v>#DIV/0!</v>
      </c>
      <c r="N81" s="11"/>
    </row>
    <row r="82" spans="1:15" ht="15.75" hidden="1" x14ac:dyDescent="0.25">
      <c r="A82" s="65" t="s">
        <v>106</v>
      </c>
      <c r="B82" s="5" t="s">
        <v>107</v>
      </c>
      <c r="C82" s="17"/>
      <c r="D82" s="17"/>
      <c r="E82" s="17"/>
      <c r="F82" s="17"/>
      <c r="G82" s="17"/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82" t="e">
        <f t="shared" si="18"/>
        <v>#DIV/0!</v>
      </c>
      <c r="N82" s="11"/>
    </row>
    <row r="83" spans="1:15" s="9" customFormat="1" ht="15.75" hidden="1" x14ac:dyDescent="0.2">
      <c r="A83" s="66" t="s">
        <v>108</v>
      </c>
      <c r="B83" s="7" t="s">
        <v>80</v>
      </c>
      <c r="C83" s="111"/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82" t="e">
        <f t="shared" si="18"/>
        <v>#DIV/0!</v>
      </c>
      <c r="N83" s="10"/>
    </row>
    <row r="84" spans="1:15" ht="15.75" hidden="1" x14ac:dyDescent="0.25">
      <c r="A84" s="65" t="s">
        <v>109</v>
      </c>
      <c r="B84" s="15" t="s">
        <v>38</v>
      </c>
      <c r="C84" s="136"/>
      <c r="D84" s="136"/>
      <c r="E84" s="17"/>
      <c r="F84" s="17"/>
      <c r="G84" s="17"/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82" t="e">
        <f t="shared" si="18"/>
        <v>#DIV/0!</v>
      </c>
      <c r="N84" s="11"/>
    </row>
    <row r="85" spans="1:15" ht="30.6" hidden="1" customHeight="1" x14ac:dyDescent="0.25">
      <c r="A85" s="65" t="s">
        <v>110</v>
      </c>
      <c r="B85" s="15" t="s">
        <v>111</v>
      </c>
      <c r="C85" s="136"/>
      <c r="D85" s="136"/>
      <c r="E85" s="17"/>
      <c r="F85" s="17"/>
      <c r="G85" s="17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82" t="e">
        <f t="shared" si="18"/>
        <v>#DIV/0!</v>
      </c>
      <c r="N85" s="11"/>
    </row>
    <row r="86" spans="1:15" s="153" customFormat="1" ht="22.35" customHeight="1" x14ac:dyDescent="0.25">
      <c r="A86" s="151" t="s">
        <v>102</v>
      </c>
      <c r="B86" s="24" t="s">
        <v>113</v>
      </c>
      <c r="C86" s="124">
        <v>0</v>
      </c>
      <c r="D86" s="124">
        <v>0</v>
      </c>
      <c r="E86" s="124">
        <v>0</v>
      </c>
      <c r="F86" s="124"/>
      <c r="G86" s="124"/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82"/>
      <c r="N86" s="152"/>
    </row>
    <row r="87" spans="1:15" s="19" customFormat="1" ht="36.6" customHeight="1" x14ac:dyDescent="0.2">
      <c r="A87" s="67" t="s">
        <v>112</v>
      </c>
      <c r="B87" s="3" t="s">
        <v>114</v>
      </c>
      <c r="C87" s="124">
        <f t="shared" ref="C87:D87" si="19">C88</f>
        <v>0.57999999999999996</v>
      </c>
      <c r="D87" s="124">
        <f t="shared" si="19"/>
        <v>0.57999999999999996</v>
      </c>
      <c r="E87" s="124">
        <f>E88</f>
        <v>3.46</v>
      </c>
      <c r="F87" s="124"/>
      <c r="G87" s="124"/>
      <c r="H87" s="124">
        <f>H88+H89+H90</f>
        <v>43.56</v>
      </c>
      <c r="I87" s="124">
        <f>I88+I89+I90</f>
        <v>0.86599999999999999</v>
      </c>
      <c r="J87" s="124">
        <f>J88+J89+J90</f>
        <v>335.91</v>
      </c>
      <c r="K87" s="124">
        <f>K88+K89+K90</f>
        <v>0</v>
      </c>
      <c r="L87" s="124">
        <f>L88+L89+L90</f>
        <v>0.86599999999999999</v>
      </c>
      <c r="M87" s="82">
        <f t="shared" si="18"/>
        <v>25.028901734104046</v>
      </c>
      <c r="N87" s="20"/>
    </row>
    <row r="88" spans="1:15" ht="60" x14ac:dyDescent="0.25">
      <c r="A88" s="65" t="s">
        <v>186</v>
      </c>
      <c r="B88" s="5" t="s">
        <v>115</v>
      </c>
      <c r="C88" s="17">
        <v>0.57999999999999996</v>
      </c>
      <c r="D88" s="17">
        <v>0.57999999999999996</v>
      </c>
      <c r="E88" s="17">
        <v>3.46</v>
      </c>
      <c r="F88" s="17"/>
      <c r="G88" s="17"/>
      <c r="H88" s="17">
        <v>43.56</v>
      </c>
      <c r="I88" s="17">
        <v>0.86599999999999999</v>
      </c>
      <c r="J88" s="17">
        <v>335.91</v>
      </c>
      <c r="K88" s="17">
        <v>0</v>
      </c>
      <c r="L88" s="17">
        <f>I88-K88</f>
        <v>0.86599999999999999</v>
      </c>
      <c r="M88" s="82">
        <f t="shared" si="18"/>
        <v>25.028901734104046</v>
      </c>
      <c r="N88" s="13" t="s">
        <v>413</v>
      </c>
      <c r="O88">
        <f>3.46/12*14</f>
        <v>4.0366666666666671</v>
      </c>
    </row>
    <row r="89" spans="1:15" ht="15.75" hidden="1" x14ac:dyDescent="0.25">
      <c r="A89" s="65" t="s">
        <v>116</v>
      </c>
      <c r="B89" s="5" t="s">
        <v>117</v>
      </c>
      <c r="C89" s="17"/>
      <c r="D89" s="17"/>
      <c r="E89" s="17"/>
      <c r="F89" s="17"/>
      <c r="G89" s="17"/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82" t="e">
        <f t="shared" si="18"/>
        <v>#DIV/0!</v>
      </c>
      <c r="N89" s="2"/>
    </row>
    <row r="90" spans="1:15" ht="15.75" hidden="1" x14ac:dyDescent="0.25">
      <c r="A90" s="65" t="s">
        <v>118</v>
      </c>
      <c r="B90" s="21" t="s">
        <v>119</v>
      </c>
      <c r="C90" s="17"/>
      <c r="D90" s="17"/>
      <c r="E90" s="17"/>
      <c r="F90" s="17"/>
      <c r="G90" s="17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82" t="e">
        <f t="shared" si="18"/>
        <v>#DIV/0!</v>
      </c>
      <c r="N90" s="2"/>
    </row>
    <row r="91" spans="1:15" s="19" customFormat="1" ht="34.700000000000003" customHeight="1" x14ac:dyDescent="0.2">
      <c r="A91" s="67" t="s">
        <v>120</v>
      </c>
      <c r="B91" s="3" t="s">
        <v>121</v>
      </c>
      <c r="C91" s="124">
        <f t="shared" ref="C91:L91" si="20">C92+C93+C94</f>
        <v>0.37</v>
      </c>
      <c r="D91" s="124">
        <f t="shared" si="20"/>
        <v>0.37</v>
      </c>
      <c r="E91" s="124">
        <f t="shared" si="20"/>
        <v>2.19</v>
      </c>
      <c r="F91" s="124"/>
      <c r="G91" s="124"/>
      <c r="H91" s="124">
        <f t="shared" si="20"/>
        <v>2.8</v>
      </c>
      <c r="I91" s="124">
        <f t="shared" si="20"/>
        <v>4.37</v>
      </c>
      <c r="J91" s="124">
        <f t="shared" si="20"/>
        <v>7.86</v>
      </c>
      <c r="K91" s="124">
        <f t="shared" si="20"/>
        <v>2.4971428571428573</v>
      </c>
      <c r="L91" s="124">
        <f t="shared" si="20"/>
        <v>1.872857142857143</v>
      </c>
      <c r="M91" s="82">
        <f t="shared" si="18"/>
        <v>199.54337899543378</v>
      </c>
      <c r="N91" s="20"/>
    </row>
    <row r="92" spans="1:15" ht="15.6" customHeight="1" x14ac:dyDescent="0.25">
      <c r="A92" s="65" t="s">
        <v>122</v>
      </c>
      <c r="B92" s="69" t="s">
        <v>142</v>
      </c>
      <c r="C92" s="175">
        <v>0</v>
      </c>
      <c r="D92" s="175">
        <v>0</v>
      </c>
      <c r="E92" s="175">
        <v>0</v>
      </c>
      <c r="F92" s="175"/>
      <c r="G92" s="175"/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82"/>
      <c r="N92" s="2"/>
    </row>
    <row r="93" spans="1:15" ht="51.75" customHeight="1" x14ac:dyDescent="0.25">
      <c r="A93" s="65" t="s">
        <v>123</v>
      </c>
      <c r="B93" s="69" t="s">
        <v>124</v>
      </c>
      <c r="C93" s="175">
        <v>0.37</v>
      </c>
      <c r="D93" s="175">
        <v>0.37</v>
      </c>
      <c r="E93" s="175">
        <v>2.19</v>
      </c>
      <c r="F93" s="175"/>
      <c r="G93" s="175"/>
      <c r="H93" s="17">
        <v>2.8</v>
      </c>
      <c r="I93" s="17">
        <f>K93+L93</f>
        <v>4.37</v>
      </c>
      <c r="J93" s="17">
        <v>7.86</v>
      </c>
      <c r="K93" s="17">
        <f>O93/14*8</f>
        <v>2.4971428571428573</v>
      </c>
      <c r="L93" s="17">
        <f>O93/14*6</f>
        <v>1.872857142857143</v>
      </c>
      <c r="M93" s="82">
        <f t="shared" si="18"/>
        <v>199.54337899543378</v>
      </c>
      <c r="N93" s="284" t="s">
        <v>353</v>
      </c>
      <c r="O93">
        <v>4.37</v>
      </c>
    </row>
    <row r="94" spans="1:15" ht="18.600000000000001" customHeight="1" x14ac:dyDescent="0.25">
      <c r="A94" s="65" t="s">
        <v>125</v>
      </c>
      <c r="B94" s="70" t="s">
        <v>126</v>
      </c>
      <c r="C94" s="175">
        <v>0</v>
      </c>
      <c r="D94" s="175">
        <v>0</v>
      </c>
      <c r="E94" s="175">
        <v>0</v>
      </c>
      <c r="F94" s="175"/>
      <c r="G94" s="175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82"/>
      <c r="N94" s="2"/>
    </row>
    <row r="95" spans="1:15" s="19" customFormat="1" ht="15.75" x14ac:dyDescent="0.2">
      <c r="A95" s="67" t="s">
        <v>189</v>
      </c>
      <c r="B95" s="3" t="s">
        <v>127</v>
      </c>
      <c r="C95" s="124">
        <f t="shared" ref="C95:L95" si="21">C13+C50+C62+C86+C87+C91</f>
        <v>478.89041099999997</v>
      </c>
      <c r="D95" s="124">
        <f t="shared" si="21"/>
        <v>505.17512799999992</v>
      </c>
      <c r="E95" s="124">
        <f t="shared" si="21"/>
        <v>2907.47082</v>
      </c>
      <c r="F95" s="124"/>
      <c r="G95" s="124"/>
      <c r="H95" s="124">
        <f t="shared" si="21"/>
        <v>6567.545306940001</v>
      </c>
      <c r="I95" s="124">
        <f t="shared" si="21"/>
        <v>3542.4494223001338</v>
      </c>
      <c r="J95" s="124">
        <f t="shared" ca="1" si="21"/>
        <v>5203.4642199999998</v>
      </c>
      <c r="K95" s="124">
        <f t="shared" si="21"/>
        <v>1978.4896232832764</v>
      </c>
      <c r="L95" s="124">
        <f t="shared" si="21"/>
        <v>1563.959799016857</v>
      </c>
      <c r="M95" s="82"/>
      <c r="N95" s="20"/>
    </row>
    <row r="96" spans="1:15" s="19" customFormat="1" ht="15.75" x14ac:dyDescent="0.2">
      <c r="A96" s="67"/>
      <c r="B96" s="5" t="s">
        <v>128</v>
      </c>
      <c r="C96" s="17">
        <f t="shared" ref="C96:L96" si="22">C97/C95*100</f>
        <v>1.000228839411863</v>
      </c>
      <c r="D96" s="17">
        <f t="shared" si="22"/>
        <v>0</v>
      </c>
      <c r="E96" s="17">
        <f t="shared" si="22"/>
        <v>0.99915018235677433</v>
      </c>
      <c r="F96" s="17"/>
      <c r="G96" s="17"/>
      <c r="H96" s="17">
        <f t="shared" si="22"/>
        <v>0.14997993222203418</v>
      </c>
      <c r="I96" s="17">
        <f t="shared" si="22"/>
        <v>1</v>
      </c>
      <c r="J96" s="17">
        <f t="shared" ca="1" si="22"/>
        <v>1.26206899091094E-2</v>
      </c>
      <c r="K96" s="17">
        <f t="shared" si="22"/>
        <v>1</v>
      </c>
      <c r="L96" s="17">
        <f t="shared" si="22"/>
        <v>1</v>
      </c>
      <c r="M96" s="82"/>
      <c r="N96" s="20"/>
    </row>
    <row r="97" spans="1:15" s="19" customFormat="1" ht="15.75" x14ac:dyDescent="0.2">
      <c r="A97" s="67" t="s">
        <v>190</v>
      </c>
      <c r="B97" s="3" t="s">
        <v>129</v>
      </c>
      <c r="C97" s="124">
        <f t="shared" ref="C97:L97" si="23">C98+C99+C100+C101+C102</f>
        <v>4.79</v>
      </c>
      <c r="D97" s="124">
        <f t="shared" si="23"/>
        <v>0</v>
      </c>
      <c r="E97" s="124">
        <f t="shared" si="23"/>
        <v>29.05</v>
      </c>
      <c r="F97" s="124"/>
      <c r="G97" s="124"/>
      <c r="H97" s="124">
        <f t="shared" si="23"/>
        <v>9.85</v>
      </c>
      <c r="I97" s="124">
        <f t="shared" si="23"/>
        <v>35.424494223001339</v>
      </c>
      <c r="J97" s="124">
        <f t="shared" ca="1" si="23"/>
        <v>1.3199999999999998</v>
      </c>
      <c r="K97" s="124">
        <f t="shared" si="23"/>
        <v>19.784896232832764</v>
      </c>
      <c r="L97" s="124">
        <f t="shared" si="23"/>
        <v>15.63959799016857</v>
      </c>
      <c r="M97" s="82"/>
      <c r="N97" s="20"/>
    </row>
    <row r="98" spans="1:15" ht="78" customHeight="1" x14ac:dyDescent="0.25">
      <c r="A98" s="65" t="s">
        <v>191</v>
      </c>
      <c r="B98" s="5" t="s">
        <v>208</v>
      </c>
      <c r="C98" s="17">
        <v>0</v>
      </c>
      <c r="D98" s="17">
        <v>0</v>
      </c>
      <c r="E98" s="17">
        <v>0</v>
      </c>
      <c r="F98" s="17"/>
      <c r="G98" s="17"/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82"/>
      <c r="N98" s="2"/>
    </row>
    <row r="99" spans="1:15" ht="47.25" x14ac:dyDescent="0.25">
      <c r="A99" s="65" t="s">
        <v>192</v>
      </c>
      <c r="B99" s="70" t="s">
        <v>209</v>
      </c>
      <c r="C99" s="175">
        <v>0</v>
      </c>
      <c r="D99" s="175">
        <v>0</v>
      </c>
      <c r="E99" s="175">
        <v>0</v>
      </c>
      <c r="F99" s="175"/>
      <c r="G99" s="175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82"/>
      <c r="N99" s="2"/>
    </row>
    <row r="100" spans="1:15" ht="47.25" x14ac:dyDescent="0.25">
      <c r="A100" s="68" t="s">
        <v>193</v>
      </c>
      <c r="B100" s="70" t="s">
        <v>211</v>
      </c>
      <c r="C100" s="175">
        <v>0</v>
      </c>
      <c r="D100" s="175">
        <v>0</v>
      </c>
      <c r="E100" s="175">
        <v>0</v>
      </c>
      <c r="F100" s="175"/>
      <c r="G100" s="175"/>
      <c r="H100" s="17">
        <v>0</v>
      </c>
      <c r="I100" s="17">
        <v>0</v>
      </c>
      <c r="J100" s="17">
        <v>1.2</v>
      </c>
      <c r="K100" s="17">
        <v>0</v>
      </c>
      <c r="L100" s="17">
        <v>0</v>
      </c>
      <c r="M100" s="82"/>
      <c r="N100" s="2"/>
    </row>
    <row r="101" spans="1:15" ht="15.75" x14ac:dyDescent="0.25">
      <c r="A101" s="65" t="s">
        <v>194</v>
      </c>
      <c r="B101" s="70" t="s">
        <v>210</v>
      </c>
      <c r="C101" s="175">
        <v>0</v>
      </c>
      <c r="D101" s="175">
        <v>0</v>
      </c>
      <c r="E101" s="175">
        <v>0</v>
      </c>
      <c r="F101" s="175"/>
      <c r="G101" s="175"/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82"/>
      <c r="N101" s="2"/>
    </row>
    <row r="102" spans="1:15" ht="15.75" x14ac:dyDescent="0.25">
      <c r="A102" s="65" t="s">
        <v>195</v>
      </c>
      <c r="B102" s="70" t="s">
        <v>134</v>
      </c>
      <c r="C102" s="175">
        <v>4.79</v>
      </c>
      <c r="D102" s="175">
        <v>0</v>
      </c>
      <c r="E102" s="175">
        <v>29.05</v>
      </c>
      <c r="F102" s="175"/>
      <c r="G102" s="175"/>
      <c r="H102" s="17">
        <v>9.85</v>
      </c>
      <c r="I102" s="17">
        <f>I95*1%</f>
        <v>35.424494223001339</v>
      </c>
      <c r="J102" s="17">
        <f t="shared" ref="J102" ca="1" si="24">J95*1%</f>
        <v>36.011460712001337</v>
      </c>
      <c r="K102" s="17">
        <f>K95*1%</f>
        <v>19.784896232832764</v>
      </c>
      <c r="L102" s="17">
        <f>L95*1%</f>
        <v>15.63959799016857</v>
      </c>
      <c r="M102" s="82"/>
      <c r="N102" s="2"/>
    </row>
    <row r="103" spans="1:15" s="19" customFormat="1" ht="15.75" x14ac:dyDescent="0.2">
      <c r="A103" s="67" t="s">
        <v>196</v>
      </c>
      <c r="B103" s="3" t="s">
        <v>135</v>
      </c>
      <c r="C103" s="124">
        <f t="shared" ref="C103:J103" si="25">C95+C97</f>
        <v>483.68041099999999</v>
      </c>
      <c r="D103" s="124">
        <v>2510.36</v>
      </c>
      <c r="E103" s="124">
        <f t="shared" si="25"/>
        <v>2936.5208200000002</v>
      </c>
      <c r="F103" s="124"/>
      <c r="G103" s="124"/>
      <c r="H103" s="124">
        <f t="shared" si="25"/>
        <v>6577.3953069400013</v>
      </c>
      <c r="I103" s="124">
        <f t="shared" si="25"/>
        <v>3577.873916523135</v>
      </c>
      <c r="J103" s="124">
        <f t="shared" ca="1" si="25"/>
        <v>9509.39653</v>
      </c>
      <c r="K103" s="124">
        <f>K95+K102</f>
        <v>1998.2745195161092</v>
      </c>
      <c r="L103" s="124">
        <f>L95+L102</f>
        <v>1579.5993970070256</v>
      </c>
      <c r="M103" s="82"/>
      <c r="N103" s="20"/>
    </row>
    <row r="104" spans="1:15" s="19" customFormat="1" ht="29.25" customHeight="1" x14ac:dyDescent="0.2">
      <c r="A104" s="67" t="s">
        <v>197</v>
      </c>
      <c r="B104" s="24" t="s">
        <v>203</v>
      </c>
      <c r="C104" s="124">
        <v>2.27</v>
      </c>
      <c r="D104" s="124">
        <v>2.27</v>
      </c>
      <c r="E104" s="124">
        <v>13.643000000000001</v>
      </c>
      <c r="F104" s="124"/>
      <c r="G104" s="124"/>
      <c r="H104" s="124">
        <v>15.907999999999999</v>
      </c>
      <c r="I104" s="124">
        <f>K104+L104</f>
        <v>15.908000000000001</v>
      </c>
      <c r="J104" s="124">
        <v>65.28</v>
      </c>
      <c r="K104" s="124">
        <f>O104/14*8</f>
        <v>9.0902857142857147</v>
      </c>
      <c r="L104" s="124">
        <f>O104/14*6</f>
        <v>6.8177142857142865</v>
      </c>
      <c r="M104" s="82">
        <f t="shared" si="18"/>
        <v>116.6019203987393</v>
      </c>
      <c r="N104" s="26"/>
      <c r="O104" s="19">
        <v>15.907999999999999</v>
      </c>
    </row>
    <row r="105" spans="1:15" s="19" customFormat="1" ht="21" customHeight="1" x14ac:dyDescent="0.2">
      <c r="A105" s="71" t="s">
        <v>204</v>
      </c>
      <c r="B105" s="73" t="s">
        <v>207</v>
      </c>
      <c r="C105" s="124">
        <v>0.16700000000000001</v>
      </c>
      <c r="D105" s="124">
        <v>0.16700000000000001</v>
      </c>
      <c r="E105" s="124">
        <v>1.17</v>
      </c>
      <c r="F105" s="124"/>
      <c r="G105" s="124"/>
      <c r="H105" s="124">
        <v>1.462</v>
      </c>
      <c r="I105" s="124">
        <f>K105+L105</f>
        <v>1.462</v>
      </c>
      <c r="J105" s="124"/>
      <c r="K105" s="124">
        <f>H105/14*8</f>
        <v>0.83542857142857141</v>
      </c>
      <c r="L105" s="124">
        <f>H105/14*6</f>
        <v>0.62657142857142856</v>
      </c>
      <c r="M105" s="82"/>
      <c r="N105" s="26"/>
    </row>
    <row r="106" spans="1:15" s="19" customFormat="1" ht="21" customHeight="1" x14ac:dyDescent="0.2">
      <c r="A106" s="71" t="s">
        <v>205</v>
      </c>
      <c r="B106" s="73" t="s">
        <v>206</v>
      </c>
      <c r="C106" s="124">
        <v>2.1030000000000002</v>
      </c>
      <c r="D106" s="124">
        <v>2.1030000000000002</v>
      </c>
      <c r="E106" s="124">
        <v>12.473000000000001</v>
      </c>
      <c r="F106" s="124"/>
      <c r="G106" s="124"/>
      <c r="H106" s="124">
        <v>14.446</v>
      </c>
      <c r="I106" s="124">
        <f>K106+L106</f>
        <v>14.446</v>
      </c>
      <c r="J106" s="124"/>
      <c r="K106" s="124">
        <f>H106/14*8</f>
        <v>8.2548571428571424</v>
      </c>
      <c r="L106" s="124">
        <f>H106/14*6</f>
        <v>6.1911428571428573</v>
      </c>
      <c r="M106" s="82"/>
      <c r="N106" s="26"/>
    </row>
    <row r="107" spans="1:15" ht="15.75" x14ac:dyDescent="0.25">
      <c r="A107" s="67" t="s">
        <v>198</v>
      </c>
      <c r="B107" s="24" t="s">
        <v>137</v>
      </c>
      <c r="C107" s="124"/>
      <c r="D107" s="124"/>
      <c r="E107" s="124">
        <f t="shared" ref="E107:L107" si="26">E103/E104</f>
        <v>215.24010994649271</v>
      </c>
      <c r="F107" s="124"/>
      <c r="G107" s="124"/>
      <c r="H107" s="124">
        <f t="shared" si="26"/>
        <v>413.46462829645469</v>
      </c>
      <c r="I107" s="124">
        <f t="shared" si="26"/>
        <v>224.91035432003613</v>
      </c>
      <c r="J107" s="124">
        <f t="shared" ca="1" si="26"/>
        <v>145.6709027267157</v>
      </c>
      <c r="K107" s="124">
        <f>K103/K104</f>
        <v>219.82527087963231</v>
      </c>
      <c r="L107" s="124">
        <f t="shared" si="26"/>
        <v>231.69046557390783</v>
      </c>
      <c r="M107" s="82"/>
      <c r="N107" s="2"/>
    </row>
    <row r="108" spans="1:15" ht="15.75" x14ac:dyDescent="0.25">
      <c r="A108" s="65"/>
      <c r="B108" s="3" t="s">
        <v>138</v>
      </c>
      <c r="C108" s="124"/>
      <c r="D108" s="124"/>
      <c r="E108" s="124"/>
      <c r="F108" s="124"/>
      <c r="G108" s="124"/>
      <c r="H108" s="17"/>
      <c r="I108" s="17"/>
      <c r="J108" s="17"/>
      <c r="K108" s="17"/>
      <c r="L108" s="17"/>
      <c r="M108" s="82"/>
      <c r="N108" s="2"/>
    </row>
    <row r="109" spans="1:15" ht="15.75" x14ac:dyDescent="0.25">
      <c r="A109" s="65"/>
      <c r="B109" s="5" t="s">
        <v>187</v>
      </c>
      <c r="C109" s="124"/>
      <c r="D109" s="124"/>
      <c r="E109" s="124">
        <v>219.83</v>
      </c>
      <c r="F109" s="124"/>
      <c r="G109" s="124"/>
      <c r="H109" s="17"/>
      <c r="I109" s="17"/>
      <c r="J109" s="17"/>
      <c r="K109" s="17"/>
      <c r="L109" s="17"/>
      <c r="M109" s="82"/>
      <c r="N109" s="2"/>
    </row>
    <row r="110" spans="1:15" ht="15.75" x14ac:dyDescent="0.25">
      <c r="A110" s="65"/>
      <c r="B110" s="5" t="s">
        <v>139</v>
      </c>
      <c r="C110" s="17"/>
      <c r="D110" s="17"/>
      <c r="E110" s="17"/>
      <c r="F110" s="17"/>
      <c r="G110" s="17"/>
      <c r="H110" s="17">
        <f>H107/E107*100</f>
        <v>192.09460002563617</v>
      </c>
      <c r="I110" s="17">
        <f>I107/E109*100</f>
        <v>102.31103776556255</v>
      </c>
      <c r="J110" s="17">
        <f ca="1">J107/#REF!*100</f>
        <v>121.31154457587915</v>
      </c>
      <c r="K110" s="17">
        <f>K107/E109*100</f>
        <v>99.997848737493655</v>
      </c>
      <c r="L110" s="17">
        <f>L107/K107*100</f>
        <v>105.39755718111792</v>
      </c>
      <c r="M110" s="82"/>
      <c r="N110" s="2"/>
    </row>
    <row r="114" spans="9:12" customFormat="1" x14ac:dyDescent="0.25">
      <c r="I114" s="139"/>
      <c r="J114" s="139"/>
      <c r="K114" s="139"/>
      <c r="L114" s="139"/>
    </row>
  </sheetData>
  <mergeCells count="17">
    <mergeCell ref="J1:L1"/>
    <mergeCell ref="A3:L3"/>
    <mergeCell ref="A4:L4"/>
    <mergeCell ref="A6:X6"/>
    <mergeCell ref="A7:X7"/>
    <mergeCell ref="D10:D11"/>
    <mergeCell ref="F10:F11"/>
    <mergeCell ref="G10:G11"/>
    <mergeCell ref="A8:W8"/>
    <mergeCell ref="E10:E11"/>
    <mergeCell ref="A10:A11"/>
    <mergeCell ref="B10:B11"/>
    <mergeCell ref="H10:H11"/>
    <mergeCell ref="I10:I11"/>
    <mergeCell ref="J10:L10"/>
    <mergeCell ref="M10:M11"/>
    <mergeCell ref="C10:C11"/>
  </mergeCells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3" sqref="A3:E3"/>
    </sheetView>
  </sheetViews>
  <sheetFormatPr defaultRowHeight="15" x14ac:dyDescent="0.25"/>
  <cols>
    <col min="1" max="1" width="5.85546875" style="281" customWidth="1"/>
    <col min="2" max="2" width="31.140625" style="281" customWidth="1"/>
    <col min="3" max="4" width="16.7109375" style="281" customWidth="1"/>
    <col min="5" max="5" width="16.42578125" style="281" customWidth="1"/>
    <col min="6" max="256" width="9.140625" style="281"/>
    <col min="257" max="257" width="5.85546875" style="281" customWidth="1"/>
    <col min="258" max="258" width="32.28515625" style="281" customWidth="1"/>
    <col min="259" max="259" width="16.7109375" style="281" customWidth="1"/>
    <col min="260" max="260" width="15" style="281" customWidth="1"/>
    <col min="261" max="261" width="18.28515625" style="281" customWidth="1"/>
    <col min="262" max="512" width="9.140625" style="281"/>
    <col min="513" max="513" width="5.85546875" style="281" customWidth="1"/>
    <col min="514" max="514" width="32.28515625" style="281" customWidth="1"/>
    <col min="515" max="515" width="16.7109375" style="281" customWidth="1"/>
    <col min="516" max="516" width="15" style="281" customWidth="1"/>
    <col min="517" max="517" width="18.28515625" style="281" customWidth="1"/>
    <col min="518" max="768" width="9.140625" style="281"/>
    <col min="769" max="769" width="5.85546875" style="281" customWidth="1"/>
    <col min="770" max="770" width="32.28515625" style="281" customWidth="1"/>
    <col min="771" max="771" width="16.7109375" style="281" customWidth="1"/>
    <col min="772" max="772" width="15" style="281" customWidth="1"/>
    <col min="773" max="773" width="18.28515625" style="281" customWidth="1"/>
    <col min="774" max="1024" width="9.140625" style="281"/>
    <col min="1025" max="1025" width="5.85546875" style="281" customWidth="1"/>
    <col min="1026" max="1026" width="32.28515625" style="281" customWidth="1"/>
    <col min="1027" max="1027" width="16.7109375" style="281" customWidth="1"/>
    <col min="1028" max="1028" width="15" style="281" customWidth="1"/>
    <col min="1029" max="1029" width="18.28515625" style="281" customWidth="1"/>
    <col min="1030" max="1280" width="9.140625" style="281"/>
    <col min="1281" max="1281" width="5.85546875" style="281" customWidth="1"/>
    <col min="1282" max="1282" width="32.28515625" style="281" customWidth="1"/>
    <col min="1283" max="1283" width="16.7109375" style="281" customWidth="1"/>
    <col min="1284" max="1284" width="15" style="281" customWidth="1"/>
    <col min="1285" max="1285" width="18.28515625" style="281" customWidth="1"/>
    <col min="1286" max="1536" width="9.140625" style="281"/>
    <col min="1537" max="1537" width="5.85546875" style="281" customWidth="1"/>
    <col min="1538" max="1538" width="32.28515625" style="281" customWidth="1"/>
    <col min="1539" max="1539" width="16.7109375" style="281" customWidth="1"/>
    <col min="1540" max="1540" width="15" style="281" customWidth="1"/>
    <col min="1541" max="1541" width="18.28515625" style="281" customWidth="1"/>
    <col min="1542" max="1792" width="9.140625" style="281"/>
    <col min="1793" max="1793" width="5.85546875" style="281" customWidth="1"/>
    <col min="1794" max="1794" width="32.28515625" style="281" customWidth="1"/>
    <col min="1795" max="1795" width="16.7109375" style="281" customWidth="1"/>
    <col min="1796" max="1796" width="15" style="281" customWidth="1"/>
    <col min="1797" max="1797" width="18.28515625" style="281" customWidth="1"/>
    <col min="1798" max="2048" width="9.140625" style="281"/>
    <col min="2049" max="2049" width="5.85546875" style="281" customWidth="1"/>
    <col min="2050" max="2050" width="32.28515625" style="281" customWidth="1"/>
    <col min="2051" max="2051" width="16.7109375" style="281" customWidth="1"/>
    <col min="2052" max="2052" width="15" style="281" customWidth="1"/>
    <col min="2053" max="2053" width="18.28515625" style="281" customWidth="1"/>
    <col min="2054" max="2304" width="9.140625" style="281"/>
    <col min="2305" max="2305" width="5.85546875" style="281" customWidth="1"/>
    <col min="2306" max="2306" width="32.28515625" style="281" customWidth="1"/>
    <col min="2307" max="2307" width="16.7109375" style="281" customWidth="1"/>
    <col min="2308" max="2308" width="15" style="281" customWidth="1"/>
    <col min="2309" max="2309" width="18.28515625" style="281" customWidth="1"/>
    <col min="2310" max="2560" width="9.140625" style="281"/>
    <col min="2561" max="2561" width="5.85546875" style="281" customWidth="1"/>
    <col min="2562" max="2562" width="32.28515625" style="281" customWidth="1"/>
    <col min="2563" max="2563" width="16.7109375" style="281" customWidth="1"/>
    <col min="2564" max="2564" width="15" style="281" customWidth="1"/>
    <col min="2565" max="2565" width="18.28515625" style="281" customWidth="1"/>
    <col min="2566" max="2816" width="9.140625" style="281"/>
    <col min="2817" max="2817" width="5.85546875" style="281" customWidth="1"/>
    <col min="2818" max="2818" width="32.28515625" style="281" customWidth="1"/>
    <col min="2819" max="2819" width="16.7109375" style="281" customWidth="1"/>
    <col min="2820" max="2820" width="15" style="281" customWidth="1"/>
    <col min="2821" max="2821" width="18.28515625" style="281" customWidth="1"/>
    <col min="2822" max="3072" width="9.140625" style="281"/>
    <col min="3073" max="3073" width="5.85546875" style="281" customWidth="1"/>
    <col min="3074" max="3074" width="32.28515625" style="281" customWidth="1"/>
    <col min="3075" max="3075" width="16.7109375" style="281" customWidth="1"/>
    <col min="3076" max="3076" width="15" style="281" customWidth="1"/>
    <col min="3077" max="3077" width="18.28515625" style="281" customWidth="1"/>
    <col min="3078" max="3328" width="9.140625" style="281"/>
    <col min="3329" max="3329" width="5.85546875" style="281" customWidth="1"/>
    <col min="3330" max="3330" width="32.28515625" style="281" customWidth="1"/>
    <col min="3331" max="3331" width="16.7109375" style="281" customWidth="1"/>
    <col min="3332" max="3332" width="15" style="281" customWidth="1"/>
    <col min="3333" max="3333" width="18.28515625" style="281" customWidth="1"/>
    <col min="3334" max="3584" width="9.140625" style="281"/>
    <col min="3585" max="3585" width="5.85546875" style="281" customWidth="1"/>
    <col min="3586" max="3586" width="32.28515625" style="281" customWidth="1"/>
    <col min="3587" max="3587" width="16.7109375" style="281" customWidth="1"/>
    <col min="3588" max="3588" width="15" style="281" customWidth="1"/>
    <col min="3589" max="3589" width="18.28515625" style="281" customWidth="1"/>
    <col min="3590" max="3840" width="9.140625" style="281"/>
    <col min="3841" max="3841" width="5.85546875" style="281" customWidth="1"/>
    <col min="3842" max="3842" width="32.28515625" style="281" customWidth="1"/>
    <col min="3843" max="3843" width="16.7109375" style="281" customWidth="1"/>
    <col min="3844" max="3844" width="15" style="281" customWidth="1"/>
    <col min="3845" max="3845" width="18.28515625" style="281" customWidth="1"/>
    <col min="3846" max="4096" width="9.140625" style="281"/>
    <col min="4097" max="4097" width="5.85546875" style="281" customWidth="1"/>
    <col min="4098" max="4098" width="32.28515625" style="281" customWidth="1"/>
    <col min="4099" max="4099" width="16.7109375" style="281" customWidth="1"/>
    <col min="4100" max="4100" width="15" style="281" customWidth="1"/>
    <col min="4101" max="4101" width="18.28515625" style="281" customWidth="1"/>
    <col min="4102" max="4352" width="9.140625" style="281"/>
    <col min="4353" max="4353" width="5.85546875" style="281" customWidth="1"/>
    <col min="4354" max="4354" width="32.28515625" style="281" customWidth="1"/>
    <col min="4355" max="4355" width="16.7109375" style="281" customWidth="1"/>
    <col min="4356" max="4356" width="15" style="281" customWidth="1"/>
    <col min="4357" max="4357" width="18.28515625" style="281" customWidth="1"/>
    <col min="4358" max="4608" width="9.140625" style="281"/>
    <col min="4609" max="4609" width="5.85546875" style="281" customWidth="1"/>
    <col min="4610" max="4610" width="32.28515625" style="281" customWidth="1"/>
    <col min="4611" max="4611" width="16.7109375" style="281" customWidth="1"/>
    <col min="4612" max="4612" width="15" style="281" customWidth="1"/>
    <col min="4613" max="4613" width="18.28515625" style="281" customWidth="1"/>
    <col min="4614" max="4864" width="9.140625" style="281"/>
    <col min="4865" max="4865" width="5.85546875" style="281" customWidth="1"/>
    <col min="4866" max="4866" width="32.28515625" style="281" customWidth="1"/>
    <col min="4867" max="4867" width="16.7109375" style="281" customWidth="1"/>
    <col min="4868" max="4868" width="15" style="281" customWidth="1"/>
    <col min="4869" max="4869" width="18.28515625" style="281" customWidth="1"/>
    <col min="4870" max="5120" width="9.140625" style="281"/>
    <col min="5121" max="5121" width="5.85546875" style="281" customWidth="1"/>
    <col min="5122" max="5122" width="32.28515625" style="281" customWidth="1"/>
    <col min="5123" max="5123" width="16.7109375" style="281" customWidth="1"/>
    <col min="5124" max="5124" width="15" style="281" customWidth="1"/>
    <col min="5125" max="5125" width="18.28515625" style="281" customWidth="1"/>
    <col min="5126" max="5376" width="9.140625" style="281"/>
    <col min="5377" max="5377" width="5.85546875" style="281" customWidth="1"/>
    <col min="5378" max="5378" width="32.28515625" style="281" customWidth="1"/>
    <col min="5379" max="5379" width="16.7109375" style="281" customWidth="1"/>
    <col min="5380" max="5380" width="15" style="281" customWidth="1"/>
    <col min="5381" max="5381" width="18.28515625" style="281" customWidth="1"/>
    <col min="5382" max="5632" width="9.140625" style="281"/>
    <col min="5633" max="5633" width="5.85546875" style="281" customWidth="1"/>
    <col min="5634" max="5634" width="32.28515625" style="281" customWidth="1"/>
    <col min="5635" max="5635" width="16.7109375" style="281" customWidth="1"/>
    <col min="5636" max="5636" width="15" style="281" customWidth="1"/>
    <col min="5637" max="5637" width="18.28515625" style="281" customWidth="1"/>
    <col min="5638" max="5888" width="9.140625" style="281"/>
    <col min="5889" max="5889" width="5.85546875" style="281" customWidth="1"/>
    <col min="5890" max="5890" width="32.28515625" style="281" customWidth="1"/>
    <col min="5891" max="5891" width="16.7109375" style="281" customWidth="1"/>
    <col min="5892" max="5892" width="15" style="281" customWidth="1"/>
    <col min="5893" max="5893" width="18.28515625" style="281" customWidth="1"/>
    <col min="5894" max="6144" width="9.140625" style="281"/>
    <col min="6145" max="6145" width="5.85546875" style="281" customWidth="1"/>
    <col min="6146" max="6146" width="32.28515625" style="281" customWidth="1"/>
    <col min="6147" max="6147" width="16.7109375" style="281" customWidth="1"/>
    <col min="6148" max="6148" width="15" style="281" customWidth="1"/>
    <col min="6149" max="6149" width="18.28515625" style="281" customWidth="1"/>
    <col min="6150" max="6400" width="9.140625" style="281"/>
    <col min="6401" max="6401" width="5.85546875" style="281" customWidth="1"/>
    <col min="6402" max="6402" width="32.28515625" style="281" customWidth="1"/>
    <col min="6403" max="6403" width="16.7109375" style="281" customWidth="1"/>
    <col min="6404" max="6404" width="15" style="281" customWidth="1"/>
    <col min="6405" max="6405" width="18.28515625" style="281" customWidth="1"/>
    <col min="6406" max="6656" width="9.140625" style="281"/>
    <col min="6657" max="6657" width="5.85546875" style="281" customWidth="1"/>
    <col min="6658" max="6658" width="32.28515625" style="281" customWidth="1"/>
    <col min="6659" max="6659" width="16.7109375" style="281" customWidth="1"/>
    <col min="6660" max="6660" width="15" style="281" customWidth="1"/>
    <col min="6661" max="6661" width="18.28515625" style="281" customWidth="1"/>
    <col min="6662" max="6912" width="9.140625" style="281"/>
    <col min="6913" max="6913" width="5.85546875" style="281" customWidth="1"/>
    <col min="6914" max="6914" width="32.28515625" style="281" customWidth="1"/>
    <col min="6915" max="6915" width="16.7109375" style="281" customWidth="1"/>
    <col min="6916" max="6916" width="15" style="281" customWidth="1"/>
    <col min="6917" max="6917" width="18.28515625" style="281" customWidth="1"/>
    <col min="6918" max="7168" width="9.140625" style="281"/>
    <col min="7169" max="7169" width="5.85546875" style="281" customWidth="1"/>
    <col min="7170" max="7170" width="32.28515625" style="281" customWidth="1"/>
    <col min="7171" max="7171" width="16.7109375" style="281" customWidth="1"/>
    <col min="7172" max="7172" width="15" style="281" customWidth="1"/>
    <col min="7173" max="7173" width="18.28515625" style="281" customWidth="1"/>
    <col min="7174" max="7424" width="9.140625" style="281"/>
    <col min="7425" max="7425" width="5.85546875" style="281" customWidth="1"/>
    <col min="7426" max="7426" width="32.28515625" style="281" customWidth="1"/>
    <col min="7427" max="7427" width="16.7109375" style="281" customWidth="1"/>
    <col min="7428" max="7428" width="15" style="281" customWidth="1"/>
    <col min="7429" max="7429" width="18.28515625" style="281" customWidth="1"/>
    <col min="7430" max="7680" width="9.140625" style="281"/>
    <col min="7681" max="7681" width="5.85546875" style="281" customWidth="1"/>
    <col min="7682" max="7682" width="32.28515625" style="281" customWidth="1"/>
    <col min="7683" max="7683" width="16.7109375" style="281" customWidth="1"/>
    <col min="7684" max="7684" width="15" style="281" customWidth="1"/>
    <col min="7685" max="7685" width="18.28515625" style="281" customWidth="1"/>
    <col min="7686" max="7936" width="9.140625" style="281"/>
    <col min="7937" max="7937" width="5.85546875" style="281" customWidth="1"/>
    <col min="7938" max="7938" width="32.28515625" style="281" customWidth="1"/>
    <col min="7939" max="7939" width="16.7109375" style="281" customWidth="1"/>
    <col min="7940" max="7940" width="15" style="281" customWidth="1"/>
    <col min="7941" max="7941" width="18.28515625" style="281" customWidth="1"/>
    <col min="7942" max="8192" width="9.140625" style="281"/>
    <col min="8193" max="8193" width="5.85546875" style="281" customWidth="1"/>
    <col min="8194" max="8194" width="32.28515625" style="281" customWidth="1"/>
    <col min="8195" max="8195" width="16.7109375" style="281" customWidth="1"/>
    <col min="8196" max="8196" width="15" style="281" customWidth="1"/>
    <col min="8197" max="8197" width="18.28515625" style="281" customWidth="1"/>
    <col min="8198" max="8448" width="9.140625" style="281"/>
    <col min="8449" max="8449" width="5.85546875" style="281" customWidth="1"/>
    <col min="8450" max="8450" width="32.28515625" style="281" customWidth="1"/>
    <col min="8451" max="8451" width="16.7109375" style="281" customWidth="1"/>
    <col min="8452" max="8452" width="15" style="281" customWidth="1"/>
    <col min="8453" max="8453" width="18.28515625" style="281" customWidth="1"/>
    <col min="8454" max="8704" width="9.140625" style="281"/>
    <col min="8705" max="8705" width="5.85546875" style="281" customWidth="1"/>
    <col min="8706" max="8706" width="32.28515625" style="281" customWidth="1"/>
    <col min="8707" max="8707" width="16.7109375" style="281" customWidth="1"/>
    <col min="8708" max="8708" width="15" style="281" customWidth="1"/>
    <col min="8709" max="8709" width="18.28515625" style="281" customWidth="1"/>
    <col min="8710" max="8960" width="9.140625" style="281"/>
    <col min="8961" max="8961" width="5.85546875" style="281" customWidth="1"/>
    <col min="8962" max="8962" width="32.28515625" style="281" customWidth="1"/>
    <col min="8963" max="8963" width="16.7109375" style="281" customWidth="1"/>
    <col min="8964" max="8964" width="15" style="281" customWidth="1"/>
    <col min="8965" max="8965" width="18.28515625" style="281" customWidth="1"/>
    <col min="8966" max="9216" width="9.140625" style="281"/>
    <col min="9217" max="9217" width="5.85546875" style="281" customWidth="1"/>
    <col min="9218" max="9218" width="32.28515625" style="281" customWidth="1"/>
    <col min="9219" max="9219" width="16.7109375" style="281" customWidth="1"/>
    <col min="9220" max="9220" width="15" style="281" customWidth="1"/>
    <col min="9221" max="9221" width="18.28515625" style="281" customWidth="1"/>
    <col min="9222" max="9472" width="9.140625" style="281"/>
    <col min="9473" max="9473" width="5.85546875" style="281" customWidth="1"/>
    <col min="9474" max="9474" width="32.28515625" style="281" customWidth="1"/>
    <col min="9475" max="9475" width="16.7109375" style="281" customWidth="1"/>
    <col min="9476" max="9476" width="15" style="281" customWidth="1"/>
    <col min="9477" max="9477" width="18.28515625" style="281" customWidth="1"/>
    <col min="9478" max="9728" width="9.140625" style="281"/>
    <col min="9729" max="9729" width="5.85546875" style="281" customWidth="1"/>
    <col min="9730" max="9730" width="32.28515625" style="281" customWidth="1"/>
    <col min="9731" max="9731" width="16.7109375" style="281" customWidth="1"/>
    <col min="9732" max="9732" width="15" style="281" customWidth="1"/>
    <col min="9733" max="9733" width="18.28515625" style="281" customWidth="1"/>
    <col min="9734" max="9984" width="9.140625" style="281"/>
    <col min="9985" max="9985" width="5.85546875" style="281" customWidth="1"/>
    <col min="9986" max="9986" width="32.28515625" style="281" customWidth="1"/>
    <col min="9987" max="9987" width="16.7109375" style="281" customWidth="1"/>
    <col min="9988" max="9988" width="15" style="281" customWidth="1"/>
    <col min="9989" max="9989" width="18.28515625" style="281" customWidth="1"/>
    <col min="9990" max="10240" width="9.140625" style="281"/>
    <col min="10241" max="10241" width="5.85546875" style="281" customWidth="1"/>
    <col min="10242" max="10242" width="32.28515625" style="281" customWidth="1"/>
    <col min="10243" max="10243" width="16.7109375" style="281" customWidth="1"/>
    <col min="10244" max="10244" width="15" style="281" customWidth="1"/>
    <col min="10245" max="10245" width="18.28515625" style="281" customWidth="1"/>
    <col min="10246" max="10496" width="9.140625" style="281"/>
    <col min="10497" max="10497" width="5.85546875" style="281" customWidth="1"/>
    <col min="10498" max="10498" width="32.28515625" style="281" customWidth="1"/>
    <col min="10499" max="10499" width="16.7109375" style="281" customWidth="1"/>
    <col min="10500" max="10500" width="15" style="281" customWidth="1"/>
    <col min="10501" max="10501" width="18.28515625" style="281" customWidth="1"/>
    <col min="10502" max="10752" width="9.140625" style="281"/>
    <col min="10753" max="10753" width="5.85546875" style="281" customWidth="1"/>
    <col min="10754" max="10754" width="32.28515625" style="281" customWidth="1"/>
    <col min="10755" max="10755" width="16.7109375" style="281" customWidth="1"/>
    <col min="10756" max="10756" width="15" style="281" customWidth="1"/>
    <col min="10757" max="10757" width="18.28515625" style="281" customWidth="1"/>
    <col min="10758" max="11008" width="9.140625" style="281"/>
    <col min="11009" max="11009" width="5.85546875" style="281" customWidth="1"/>
    <col min="11010" max="11010" width="32.28515625" style="281" customWidth="1"/>
    <col min="11011" max="11011" width="16.7109375" style="281" customWidth="1"/>
    <col min="11012" max="11012" width="15" style="281" customWidth="1"/>
    <col min="11013" max="11013" width="18.28515625" style="281" customWidth="1"/>
    <col min="11014" max="11264" width="9.140625" style="281"/>
    <col min="11265" max="11265" width="5.85546875" style="281" customWidth="1"/>
    <col min="11266" max="11266" width="32.28515625" style="281" customWidth="1"/>
    <col min="11267" max="11267" width="16.7109375" style="281" customWidth="1"/>
    <col min="11268" max="11268" width="15" style="281" customWidth="1"/>
    <col min="11269" max="11269" width="18.28515625" style="281" customWidth="1"/>
    <col min="11270" max="11520" width="9.140625" style="281"/>
    <col min="11521" max="11521" width="5.85546875" style="281" customWidth="1"/>
    <col min="11522" max="11522" width="32.28515625" style="281" customWidth="1"/>
    <col min="11523" max="11523" width="16.7109375" style="281" customWidth="1"/>
    <col min="11524" max="11524" width="15" style="281" customWidth="1"/>
    <col min="11525" max="11525" width="18.28515625" style="281" customWidth="1"/>
    <col min="11526" max="11776" width="9.140625" style="281"/>
    <col min="11777" max="11777" width="5.85546875" style="281" customWidth="1"/>
    <col min="11778" max="11778" width="32.28515625" style="281" customWidth="1"/>
    <col min="11779" max="11779" width="16.7109375" style="281" customWidth="1"/>
    <col min="11780" max="11780" width="15" style="281" customWidth="1"/>
    <col min="11781" max="11781" width="18.28515625" style="281" customWidth="1"/>
    <col min="11782" max="12032" width="9.140625" style="281"/>
    <col min="12033" max="12033" width="5.85546875" style="281" customWidth="1"/>
    <col min="12034" max="12034" width="32.28515625" style="281" customWidth="1"/>
    <col min="12035" max="12035" width="16.7109375" style="281" customWidth="1"/>
    <col min="12036" max="12036" width="15" style="281" customWidth="1"/>
    <col min="12037" max="12037" width="18.28515625" style="281" customWidth="1"/>
    <col min="12038" max="12288" width="9.140625" style="281"/>
    <col min="12289" max="12289" width="5.85546875" style="281" customWidth="1"/>
    <col min="12290" max="12290" width="32.28515625" style="281" customWidth="1"/>
    <col min="12291" max="12291" width="16.7109375" style="281" customWidth="1"/>
    <col min="12292" max="12292" width="15" style="281" customWidth="1"/>
    <col min="12293" max="12293" width="18.28515625" style="281" customWidth="1"/>
    <col min="12294" max="12544" width="9.140625" style="281"/>
    <col min="12545" max="12545" width="5.85546875" style="281" customWidth="1"/>
    <col min="12546" max="12546" width="32.28515625" style="281" customWidth="1"/>
    <col min="12547" max="12547" width="16.7109375" style="281" customWidth="1"/>
    <col min="12548" max="12548" width="15" style="281" customWidth="1"/>
    <col min="12549" max="12549" width="18.28515625" style="281" customWidth="1"/>
    <col min="12550" max="12800" width="9.140625" style="281"/>
    <col min="12801" max="12801" width="5.85546875" style="281" customWidth="1"/>
    <col min="12802" max="12802" width="32.28515625" style="281" customWidth="1"/>
    <col min="12803" max="12803" width="16.7109375" style="281" customWidth="1"/>
    <col min="12804" max="12804" width="15" style="281" customWidth="1"/>
    <col min="12805" max="12805" width="18.28515625" style="281" customWidth="1"/>
    <col min="12806" max="13056" width="9.140625" style="281"/>
    <col min="13057" max="13057" width="5.85546875" style="281" customWidth="1"/>
    <col min="13058" max="13058" width="32.28515625" style="281" customWidth="1"/>
    <col min="13059" max="13059" width="16.7109375" style="281" customWidth="1"/>
    <col min="13060" max="13060" width="15" style="281" customWidth="1"/>
    <col min="13061" max="13061" width="18.28515625" style="281" customWidth="1"/>
    <col min="13062" max="13312" width="9.140625" style="281"/>
    <col min="13313" max="13313" width="5.85546875" style="281" customWidth="1"/>
    <col min="13314" max="13314" width="32.28515625" style="281" customWidth="1"/>
    <col min="13315" max="13315" width="16.7109375" style="281" customWidth="1"/>
    <col min="13316" max="13316" width="15" style="281" customWidth="1"/>
    <col min="13317" max="13317" width="18.28515625" style="281" customWidth="1"/>
    <col min="13318" max="13568" width="9.140625" style="281"/>
    <col min="13569" max="13569" width="5.85546875" style="281" customWidth="1"/>
    <col min="13570" max="13570" width="32.28515625" style="281" customWidth="1"/>
    <col min="13571" max="13571" width="16.7109375" style="281" customWidth="1"/>
    <col min="13572" max="13572" width="15" style="281" customWidth="1"/>
    <col min="13573" max="13573" width="18.28515625" style="281" customWidth="1"/>
    <col min="13574" max="13824" width="9.140625" style="281"/>
    <col min="13825" max="13825" width="5.85546875" style="281" customWidth="1"/>
    <col min="13826" max="13826" width="32.28515625" style="281" customWidth="1"/>
    <col min="13827" max="13827" width="16.7109375" style="281" customWidth="1"/>
    <col min="13828" max="13828" width="15" style="281" customWidth="1"/>
    <col min="13829" max="13829" width="18.28515625" style="281" customWidth="1"/>
    <col min="13830" max="14080" width="9.140625" style="281"/>
    <col min="14081" max="14081" width="5.85546875" style="281" customWidth="1"/>
    <col min="14082" max="14082" width="32.28515625" style="281" customWidth="1"/>
    <col min="14083" max="14083" width="16.7109375" style="281" customWidth="1"/>
    <col min="14084" max="14084" width="15" style="281" customWidth="1"/>
    <col min="14085" max="14085" width="18.28515625" style="281" customWidth="1"/>
    <col min="14086" max="14336" width="9.140625" style="281"/>
    <col min="14337" max="14337" width="5.85546875" style="281" customWidth="1"/>
    <col min="14338" max="14338" width="32.28515625" style="281" customWidth="1"/>
    <col min="14339" max="14339" width="16.7109375" style="281" customWidth="1"/>
    <col min="14340" max="14340" width="15" style="281" customWidth="1"/>
    <col min="14341" max="14341" width="18.28515625" style="281" customWidth="1"/>
    <col min="14342" max="14592" width="9.140625" style="281"/>
    <col min="14593" max="14593" width="5.85546875" style="281" customWidth="1"/>
    <col min="14594" max="14594" width="32.28515625" style="281" customWidth="1"/>
    <col min="14595" max="14595" width="16.7109375" style="281" customWidth="1"/>
    <col min="14596" max="14596" width="15" style="281" customWidth="1"/>
    <col min="14597" max="14597" width="18.28515625" style="281" customWidth="1"/>
    <col min="14598" max="14848" width="9.140625" style="281"/>
    <col min="14849" max="14849" width="5.85546875" style="281" customWidth="1"/>
    <col min="14850" max="14850" width="32.28515625" style="281" customWidth="1"/>
    <col min="14851" max="14851" width="16.7109375" style="281" customWidth="1"/>
    <col min="14852" max="14852" width="15" style="281" customWidth="1"/>
    <col min="14853" max="14853" width="18.28515625" style="281" customWidth="1"/>
    <col min="14854" max="15104" width="9.140625" style="281"/>
    <col min="15105" max="15105" width="5.85546875" style="281" customWidth="1"/>
    <col min="15106" max="15106" width="32.28515625" style="281" customWidth="1"/>
    <col min="15107" max="15107" width="16.7109375" style="281" customWidth="1"/>
    <col min="15108" max="15108" width="15" style="281" customWidth="1"/>
    <col min="15109" max="15109" width="18.28515625" style="281" customWidth="1"/>
    <col min="15110" max="15360" width="9.140625" style="281"/>
    <col min="15361" max="15361" width="5.85546875" style="281" customWidth="1"/>
    <col min="15362" max="15362" width="32.28515625" style="281" customWidth="1"/>
    <col min="15363" max="15363" width="16.7109375" style="281" customWidth="1"/>
    <col min="15364" max="15364" width="15" style="281" customWidth="1"/>
    <col min="15365" max="15365" width="18.28515625" style="281" customWidth="1"/>
    <col min="15366" max="15616" width="9.140625" style="281"/>
    <col min="15617" max="15617" width="5.85546875" style="281" customWidth="1"/>
    <col min="15618" max="15618" width="32.28515625" style="281" customWidth="1"/>
    <col min="15619" max="15619" width="16.7109375" style="281" customWidth="1"/>
    <col min="15620" max="15620" width="15" style="281" customWidth="1"/>
    <col min="15621" max="15621" width="18.28515625" style="281" customWidth="1"/>
    <col min="15622" max="15872" width="9.140625" style="281"/>
    <col min="15873" max="15873" width="5.85546875" style="281" customWidth="1"/>
    <col min="15874" max="15874" width="32.28515625" style="281" customWidth="1"/>
    <col min="15875" max="15875" width="16.7109375" style="281" customWidth="1"/>
    <col min="15876" max="15876" width="15" style="281" customWidth="1"/>
    <col min="15877" max="15877" width="18.28515625" style="281" customWidth="1"/>
    <col min="15878" max="16128" width="9.140625" style="281"/>
    <col min="16129" max="16129" width="5.85546875" style="281" customWidth="1"/>
    <col min="16130" max="16130" width="32.28515625" style="281" customWidth="1"/>
    <col min="16131" max="16131" width="16.7109375" style="281" customWidth="1"/>
    <col min="16132" max="16132" width="15" style="281" customWidth="1"/>
    <col min="16133" max="16133" width="18.28515625" style="281" customWidth="1"/>
    <col min="16134" max="16384" width="9.140625" style="281"/>
  </cols>
  <sheetData>
    <row r="1" spans="1:6" ht="36.75" customHeight="1" x14ac:dyDescent="0.3">
      <c r="C1" s="335" t="s">
        <v>437</v>
      </c>
      <c r="D1" s="335"/>
      <c r="E1" s="335"/>
      <c r="F1" s="217"/>
    </row>
    <row r="2" spans="1:6" ht="15" customHeight="1" x14ac:dyDescent="0.3">
      <c r="D2" s="351"/>
      <c r="E2" s="351"/>
    </row>
    <row r="3" spans="1:6" ht="53.25" customHeight="1" x14ac:dyDescent="0.25">
      <c r="A3" s="352" t="s">
        <v>436</v>
      </c>
      <c r="B3" s="352"/>
      <c r="C3" s="352"/>
      <c r="D3" s="352"/>
      <c r="E3" s="352"/>
    </row>
    <row r="5" spans="1:6" s="282" customFormat="1" ht="18.75" customHeight="1" x14ac:dyDescent="0.25">
      <c r="A5" s="346" t="s">
        <v>160</v>
      </c>
      <c r="B5" s="346" t="s">
        <v>212</v>
      </c>
      <c r="C5" s="346" t="s">
        <v>239</v>
      </c>
      <c r="D5" s="346" t="s">
        <v>213</v>
      </c>
      <c r="E5" s="346"/>
    </row>
    <row r="6" spans="1:6" s="282" customFormat="1" ht="93" customHeight="1" x14ac:dyDescent="0.25">
      <c r="A6" s="346"/>
      <c r="B6" s="346"/>
      <c r="C6" s="346"/>
      <c r="D6" s="346" t="s">
        <v>420</v>
      </c>
      <c r="E6" s="348" t="s">
        <v>4</v>
      </c>
    </row>
    <row r="7" spans="1:6" s="282" customFormat="1" ht="18.75" customHeight="1" x14ac:dyDescent="0.25">
      <c r="A7" s="346"/>
      <c r="B7" s="346"/>
      <c r="C7" s="346"/>
      <c r="D7" s="346"/>
      <c r="E7" s="349"/>
    </row>
    <row r="8" spans="1:6" s="282" customFormat="1" ht="15.75" customHeight="1" x14ac:dyDescent="0.25">
      <c r="A8" s="293">
        <v>1</v>
      </c>
      <c r="B8" s="293">
        <v>2</v>
      </c>
      <c r="C8" s="293">
        <v>3</v>
      </c>
      <c r="D8" s="293">
        <v>4</v>
      </c>
      <c r="E8" s="293">
        <v>5</v>
      </c>
    </row>
    <row r="9" spans="1:6" s="282" customFormat="1" ht="18.75" x14ac:dyDescent="0.25">
      <c r="A9" s="293">
        <v>1</v>
      </c>
      <c r="B9" s="347" t="s">
        <v>435</v>
      </c>
      <c r="C9" s="347"/>
      <c r="D9" s="347"/>
      <c r="E9" s="347"/>
    </row>
    <row r="10" spans="1:6" ht="58.5" customHeight="1" x14ac:dyDescent="0.25">
      <c r="A10" s="295" t="s">
        <v>6</v>
      </c>
      <c r="B10" s="296" t="s">
        <v>215</v>
      </c>
      <c r="C10" s="295" t="s">
        <v>216</v>
      </c>
      <c r="D10" s="295">
        <v>28.79</v>
      </c>
      <c r="E10" s="303">
        <v>28.79</v>
      </c>
    </row>
    <row r="11" spans="1:6" ht="56.25" x14ac:dyDescent="0.25">
      <c r="A11" s="293" t="s">
        <v>8</v>
      </c>
      <c r="B11" s="294" t="s">
        <v>217</v>
      </c>
      <c r="C11" s="293" t="s">
        <v>216</v>
      </c>
      <c r="D11" s="302">
        <v>28.79</v>
      </c>
      <c r="E11" s="293">
        <v>28.79</v>
      </c>
    </row>
    <row r="12" spans="1:6" ht="57.75" customHeight="1" x14ac:dyDescent="0.25">
      <c r="A12" s="350"/>
      <c r="B12" s="350"/>
      <c r="C12" s="350"/>
      <c r="D12" s="350"/>
      <c r="E12" s="350"/>
    </row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ht="15" hidden="1" customHeight="1" x14ac:dyDescent="0.25"/>
  </sheetData>
  <mergeCells count="11">
    <mergeCell ref="D6:D7"/>
    <mergeCell ref="B9:E9"/>
    <mergeCell ref="E6:E7"/>
    <mergeCell ref="A12:E12"/>
    <mergeCell ref="C1:E1"/>
    <mergeCell ref="D2:E2"/>
    <mergeCell ref="A3:E3"/>
    <mergeCell ref="D5:E5"/>
    <mergeCell ref="A5:A7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I17" sqref="I17"/>
    </sheetView>
  </sheetViews>
  <sheetFormatPr defaultRowHeight="15" x14ac:dyDescent="0.25"/>
  <cols>
    <col min="1" max="1" width="3.42578125" customWidth="1"/>
    <col min="2" max="2" width="22.42578125" customWidth="1"/>
    <col min="3" max="3" width="11.5703125" customWidth="1"/>
    <col min="4" max="4" width="8.140625" customWidth="1"/>
    <col min="5" max="5" width="9.140625" customWidth="1"/>
    <col min="6" max="6" width="9.85546875" customWidth="1"/>
    <col min="7" max="7" width="6.5703125" customWidth="1"/>
    <col min="8" max="8" width="10.42578125" customWidth="1"/>
    <col min="9" max="9" width="12" customWidth="1"/>
    <col min="10" max="10" width="8.140625" customWidth="1"/>
    <col min="11" max="11" width="7.5703125" customWidth="1"/>
    <col min="12" max="12" width="13.7109375" customWidth="1"/>
    <col min="13" max="13" width="7.85546875" customWidth="1"/>
    <col min="14" max="14" width="9" customWidth="1"/>
    <col min="15" max="15" width="7.85546875" customWidth="1"/>
    <col min="16" max="16" width="10" customWidth="1"/>
    <col min="21" max="21" width="9.85546875" bestFit="1" customWidth="1"/>
    <col min="257" max="257" width="3.42578125" customWidth="1"/>
    <col min="258" max="258" width="22.42578125" customWidth="1"/>
    <col min="259" max="259" width="11.5703125" customWidth="1"/>
    <col min="260" max="260" width="8.140625" customWidth="1"/>
    <col min="261" max="261" width="9.140625" customWidth="1"/>
    <col min="262" max="262" width="9.85546875" customWidth="1"/>
    <col min="263" max="263" width="6.5703125" customWidth="1"/>
    <col min="264" max="264" width="10.42578125" customWidth="1"/>
    <col min="265" max="265" width="12" customWidth="1"/>
    <col min="266" max="266" width="8.140625" customWidth="1"/>
    <col min="267" max="267" width="7.5703125" customWidth="1"/>
    <col min="268" max="268" width="13.7109375" customWidth="1"/>
    <col min="269" max="269" width="7.85546875" customWidth="1"/>
    <col min="270" max="270" width="9" customWidth="1"/>
    <col min="271" max="271" width="7.85546875" customWidth="1"/>
    <col min="272" max="272" width="10" customWidth="1"/>
    <col min="277" max="277" width="9.85546875" bestFit="1" customWidth="1"/>
    <col min="513" max="513" width="3.42578125" customWidth="1"/>
    <col min="514" max="514" width="22.42578125" customWidth="1"/>
    <col min="515" max="515" width="11.5703125" customWidth="1"/>
    <col min="516" max="516" width="8.140625" customWidth="1"/>
    <col min="517" max="517" width="9.140625" customWidth="1"/>
    <col min="518" max="518" width="9.85546875" customWidth="1"/>
    <col min="519" max="519" width="6.5703125" customWidth="1"/>
    <col min="520" max="520" width="10.42578125" customWidth="1"/>
    <col min="521" max="521" width="12" customWidth="1"/>
    <col min="522" max="522" width="8.140625" customWidth="1"/>
    <col min="523" max="523" width="7.5703125" customWidth="1"/>
    <col min="524" max="524" width="13.7109375" customWidth="1"/>
    <col min="525" max="525" width="7.85546875" customWidth="1"/>
    <col min="526" max="526" width="9" customWidth="1"/>
    <col min="527" max="527" width="7.85546875" customWidth="1"/>
    <col min="528" max="528" width="10" customWidth="1"/>
    <col min="533" max="533" width="9.85546875" bestFit="1" customWidth="1"/>
    <col min="769" max="769" width="3.42578125" customWidth="1"/>
    <col min="770" max="770" width="22.42578125" customWidth="1"/>
    <col min="771" max="771" width="11.5703125" customWidth="1"/>
    <col min="772" max="772" width="8.140625" customWidth="1"/>
    <col min="773" max="773" width="9.140625" customWidth="1"/>
    <col min="774" max="774" width="9.85546875" customWidth="1"/>
    <col min="775" max="775" width="6.5703125" customWidth="1"/>
    <col min="776" max="776" width="10.42578125" customWidth="1"/>
    <col min="777" max="777" width="12" customWidth="1"/>
    <col min="778" max="778" width="8.140625" customWidth="1"/>
    <col min="779" max="779" width="7.5703125" customWidth="1"/>
    <col min="780" max="780" width="13.7109375" customWidth="1"/>
    <col min="781" max="781" width="7.85546875" customWidth="1"/>
    <col min="782" max="782" width="9" customWidth="1"/>
    <col min="783" max="783" width="7.85546875" customWidth="1"/>
    <col min="784" max="784" width="10" customWidth="1"/>
    <col min="789" max="789" width="9.85546875" bestFit="1" customWidth="1"/>
    <col min="1025" max="1025" width="3.42578125" customWidth="1"/>
    <col min="1026" max="1026" width="22.42578125" customWidth="1"/>
    <col min="1027" max="1027" width="11.5703125" customWidth="1"/>
    <col min="1028" max="1028" width="8.140625" customWidth="1"/>
    <col min="1029" max="1029" width="9.140625" customWidth="1"/>
    <col min="1030" max="1030" width="9.85546875" customWidth="1"/>
    <col min="1031" max="1031" width="6.5703125" customWidth="1"/>
    <col min="1032" max="1032" width="10.42578125" customWidth="1"/>
    <col min="1033" max="1033" width="12" customWidth="1"/>
    <col min="1034" max="1034" width="8.140625" customWidth="1"/>
    <col min="1035" max="1035" width="7.5703125" customWidth="1"/>
    <col min="1036" max="1036" width="13.7109375" customWidth="1"/>
    <col min="1037" max="1037" width="7.85546875" customWidth="1"/>
    <col min="1038" max="1038" width="9" customWidth="1"/>
    <col min="1039" max="1039" width="7.85546875" customWidth="1"/>
    <col min="1040" max="1040" width="10" customWidth="1"/>
    <col min="1045" max="1045" width="9.85546875" bestFit="1" customWidth="1"/>
    <col min="1281" max="1281" width="3.42578125" customWidth="1"/>
    <col min="1282" max="1282" width="22.42578125" customWidth="1"/>
    <col min="1283" max="1283" width="11.5703125" customWidth="1"/>
    <col min="1284" max="1284" width="8.140625" customWidth="1"/>
    <col min="1285" max="1285" width="9.140625" customWidth="1"/>
    <col min="1286" max="1286" width="9.85546875" customWidth="1"/>
    <col min="1287" max="1287" width="6.5703125" customWidth="1"/>
    <col min="1288" max="1288" width="10.42578125" customWidth="1"/>
    <col min="1289" max="1289" width="12" customWidth="1"/>
    <col min="1290" max="1290" width="8.140625" customWidth="1"/>
    <col min="1291" max="1291" width="7.5703125" customWidth="1"/>
    <col min="1292" max="1292" width="13.7109375" customWidth="1"/>
    <col min="1293" max="1293" width="7.85546875" customWidth="1"/>
    <col min="1294" max="1294" width="9" customWidth="1"/>
    <col min="1295" max="1295" width="7.85546875" customWidth="1"/>
    <col min="1296" max="1296" width="10" customWidth="1"/>
    <col min="1301" max="1301" width="9.85546875" bestFit="1" customWidth="1"/>
    <col min="1537" max="1537" width="3.42578125" customWidth="1"/>
    <col min="1538" max="1538" width="22.42578125" customWidth="1"/>
    <col min="1539" max="1539" width="11.5703125" customWidth="1"/>
    <col min="1540" max="1540" width="8.140625" customWidth="1"/>
    <col min="1541" max="1541" width="9.140625" customWidth="1"/>
    <col min="1542" max="1542" width="9.85546875" customWidth="1"/>
    <col min="1543" max="1543" width="6.5703125" customWidth="1"/>
    <col min="1544" max="1544" width="10.42578125" customWidth="1"/>
    <col min="1545" max="1545" width="12" customWidth="1"/>
    <col min="1546" max="1546" width="8.140625" customWidth="1"/>
    <col min="1547" max="1547" width="7.5703125" customWidth="1"/>
    <col min="1548" max="1548" width="13.7109375" customWidth="1"/>
    <col min="1549" max="1549" width="7.85546875" customWidth="1"/>
    <col min="1550" max="1550" width="9" customWidth="1"/>
    <col min="1551" max="1551" width="7.85546875" customWidth="1"/>
    <col min="1552" max="1552" width="10" customWidth="1"/>
    <col min="1557" max="1557" width="9.85546875" bestFit="1" customWidth="1"/>
    <col min="1793" max="1793" width="3.42578125" customWidth="1"/>
    <col min="1794" max="1794" width="22.42578125" customWidth="1"/>
    <col min="1795" max="1795" width="11.5703125" customWidth="1"/>
    <col min="1796" max="1796" width="8.140625" customWidth="1"/>
    <col min="1797" max="1797" width="9.140625" customWidth="1"/>
    <col min="1798" max="1798" width="9.85546875" customWidth="1"/>
    <col min="1799" max="1799" width="6.5703125" customWidth="1"/>
    <col min="1800" max="1800" width="10.42578125" customWidth="1"/>
    <col min="1801" max="1801" width="12" customWidth="1"/>
    <col min="1802" max="1802" width="8.140625" customWidth="1"/>
    <col min="1803" max="1803" width="7.5703125" customWidth="1"/>
    <col min="1804" max="1804" width="13.7109375" customWidth="1"/>
    <col min="1805" max="1805" width="7.85546875" customWidth="1"/>
    <col min="1806" max="1806" width="9" customWidth="1"/>
    <col min="1807" max="1807" width="7.85546875" customWidth="1"/>
    <col min="1808" max="1808" width="10" customWidth="1"/>
    <col min="1813" max="1813" width="9.85546875" bestFit="1" customWidth="1"/>
    <col min="2049" max="2049" width="3.42578125" customWidth="1"/>
    <col min="2050" max="2050" width="22.42578125" customWidth="1"/>
    <col min="2051" max="2051" width="11.5703125" customWidth="1"/>
    <col min="2052" max="2052" width="8.140625" customWidth="1"/>
    <col min="2053" max="2053" width="9.140625" customWidth="1"/>
    <col min="2054" max="2054" width="9.85546875" customWidth="1"/>
    <col min="2055" max="2055" width="6.5703125" customWidth="1"/>
    <col min="2056" max="2056" width="10.42578125" customWidth="1"/>
    <col min="2057" max="2057" width="12" customWidth="1"/>
    <col min="2058" max="2058" width="8.140625" customWidth="1"/>
    <col min="2059" max="2059" width="7.5703125" customWidth="1"/>
    <col min="2060" max="2060" width="13.7109375" customWidth="1"/>
    <col min="2061" max="2061" width="7.85546875" customWidth="1"/>
    <col min="2062" max="2062" width="9" customWidth="1"/>
    <col min="2063" max="2063" width="7.85546875" customWidth="1"/>
    <col min="2064" max="2064" width="10" customWidth="1"/>
    <col min="2069" max="2069" width="9.85546875" bestFit="1" customWidth="1"/>
    <col min="2305" max="2305" width="3.42578125" customWidth="1"/>
    <col min="2306" max="2306" width="22.42578125" customWidth="1"/>
    <col min="2307" max="2307" width="11.5703125" customWidth="1"/>
    <col min="2308" max="2308" width="8.140625" customWidth="1"/>
    <col min="2309" max="2309" width="9.140625" customWidth="1"/>
    <col min="2310" max="2310" width="9.85546875" customWidth="1"/>
    <col min="2311" max="2311" width="6.5703125" customWidth="1"/>
    <col min="2312" max="2312" width="10.42578125" customWidth="1"/>
    <col min="2313" max="2313" width="12" customWidth="1"/>
    <col min="2314" max="2314" width="8.140625" customWidth="1"/>
    <col min="2315" max="2315" width="7.5703125" customWidth="1"/>
    <col min="2316" max="2316" width="13.7109375" customWidth="1"/>
    <col min="2317" max="2317" width="7.85546875" customWidth="1"/>
    <col min="2318" max="2318" width="9" customWidth="1"/>
    <col min="2319" max="2319" width="7.85546875" customWidth="1"/>
    <col min="2320" max="2320" width="10" customWidth="1"/>
    <col min="2325" max="2325" width="9.85546875" bestFit="1" customWidth="1"/>
    <col min="2561" max="2561" width="3.42578125" customWidth="1"/>
    <col min="2562" max="2562" width="22.42578125" customWidth="1"/>
    <col min="2563" max="2563" width="11.5703125" customWidth="1"/>
    <col min="2564" max="2564" width="8.140625" customWidth="1"/>
    <col min="2565" max="2565" width="9.140625" customWidth="1"/>
    <col min="2566" max="2566" width="9.85546875" customWidth="1"/>
    <col min="2567" max="2567" width="6.5703125" customWidth="1"/>
    <col min="2568" max="2568" width="10.42578125" customWidth="1"/>
    <col min="2569" max="2569" width="12" customWidth="1"/>
    <col min="2570" max="2570" width="8.140625" customWidth="1"/>
    <col min="2571" max="2571" width="7.5703125" customWidth="1"/>
    <col min="2572" max="2572" width="13.7109375" customWidth="1"/>
    <col min="2573" max="2573" width="7.85546875" customWidth="1"/>
    <col min="2574" max="2574" width="9" customWidth="1"/>
    <col min="2575" max="2575" width="7.85546875" customWidth="1"/>
    <col min="2576" max="2576" width="10" customWidth="1"/>
    <col min="2581" max="2581" width="9.85546875" bestFit="1" customWidth="1"/>
    <col min="2817" max="2817" width="3.42578125" customWidth="1"/>
    <col min="2818" max="2818" width="22.42578125" customWidth="1"/>
    <col min="2819" max="2819" width="11.5703125" customWidth="1"/>
    <col min="2820" max="2820" width="8.140625" customWidth="1"/>
    <col min="2821" max="2821" width="9.140625" customWidth="1"/>
    <col min="2822" max="2822" width="9.85546875" customWidth="1"/>
    <col min="2823" max="2823" width="6.5703125" customWidth="1"/>
    <col min="2824" max="2824" width="10.42578125" customWidth="1"/>
    <col min="2825" max="2825" width="12" customWidth="1"/>
    <col min="2826" max="2826" width="8.140625" customWidth="1"/>
    <col min="2827" max="2827" width="7.5703125" customWidth="1"/>
    <col min="2828" max="2828" width="13.7109375" customWidth="1"/>
    <col min="2829" max="2829" width="7.85546875" customWidth="1"/>
    <col min="2830" max="2830" width="9" customWidth="1"/>
    <col min="2831" max="2831" width="7.85546875" customWidth="1"/>
    <col min="2832" max="2832" width="10" customWidth="1"/>
    <col min="2837" max="2837" width="9.85546875" bestFit="1" customWidth="1"/>
    <col min="3073" max="3073" width="3.42578125" customWidth="1"/>
    <col min="3074" max="3074" width="22.42578125" customWidth="1"/>
    <col min="3075" max="3075" width="11.5703125" customWidth="1"/>
    <col min="3076" max="3076" width="8.140625" customWidth="1"/>
    <col min="3077" max="3077" width="9.140625" customWidth="1"/>
    <col min="3078" max="3078" width="9.85546875" customWidth="1"/>
    <col min="3079" max="3079" width="6.5703125" customWidth="1"/>
    <col min="3080" max="3080" width="10.42578125" customWidth="1"/>
    <col min="3081" max="3081" width="12" customWidth="1"/>
    <col min="3082" max="3082" width="8.140625" customWidth="1"/>
    <col min="3083" max="3083" width="7.5703125" customWidth="1"/>
    <col min="3084" max="3084" width="13.7109375" customWidth="1"/>
    <col min="3085" max="3085" width="7.85546875" customWidth="1"/>
    <col min="3086" max="3086" width="9" customWidth="1"/>
    <col min="3087" max="3087" width="7.85546875" customWidth="1"/>
    <col min="3088" max="3088" width="10" customWidth="1"/>
    <col min="3093" max="3093" width="9.85546875" bestFit="1" customWidth="1"/>
    <col min="3329" max="3329" width="3.42578125" customWidth="1"/>
    <col min="3330" max="3330" width="22.42578125" customWidth="1"/>
    <col min="3331" max="3331" width="11.5703125" customWidth="1"/>
    <col min="3332" max="3332" width="8.140625" customWidth="1"/>
    <col min="3333" max="3333" width="9.140625" customWidth="1"/>
    <col min="3334" max="3334" width="9.85546875" customWidth="1"/>
    <col min="3335" max="3335" width="6.5703125" customWidth="1"/>
    <col min="3336" max="3336" width="10.42578125" customWidth="1"/>
    <col min="3337" max="3337" width="12" customWidth="1"/>
    <col min="3338" max="3338" width="8.140625" customWidth="1"/>
    <col min="3339" max="3339" width="7.5703125" customWidth="1"/>
    <col min="3340" max="3340" width="13.7109375" customWidth="1"/>
    <col min="3341" max="3341" width="7.85546875" customWidth="1"/>
    <col min="3342" max="3342" width="9" customWidth="1"/>
    <col min="3343" max="3343" width="7.85546875" customWidth="1"/>
    <col min="3344" max="3344" width="10" customWidth="1"/>
    <col min="3349" max="3349" width="9.85546875" bestFit="1" customWidth="1"/>
    <col min="3585" max="3585" width="3.42578125" customWidth="1"/>
    <col min="3586" max="3586" width="22.42578125" customWidth="1"/>
    <col min="3587" max="3587" width="11.5703125" customWidth="1"/>
    <col min="3588" max="3588" width="8.140625" customWidth="1"/>
    <col min="3589" max="3589" width="9.140625" customWidth="1"/>
    <col min="3590" max="3590" width="9.85546875" customWidth="1"/>
    <col min="3591" max="3591" width="6.5703125" customWidth="1"/>
    <col min="3592" max="3592" width="10.42578125" customWidth="1"/>
    <col min="3593" max="3593" width="12" customWidth="1"/>
    <col min="3594" max="3594" width="8.140625" customWidth="1"/>
    <col min="3595" max="3595" width="7.5703125" customWidth="1"/>
    <col min="3596" max="3596" width="13.7109375" customWidth="1"/>
    <col min="3597" max="3597" width="7.85546875" customWidth="1"/>
    <col min="3598" max="3598" width="9" customWidth="1"/>
    <col min="3599" max="3599" width="7.85546875" customWidth="1"/>
    <col min="3600" max="3600" width="10" customWidth="1"/>
    <col min="3605" max="3605" width="9.85546875" bestFit="1" customWidth="1"/>
    <col min="3841" max="3841" width="3.42578125" customWidth="1"/>
    <col min="3842" max="3842" width="22.42578125" customWidth="1"/>
    <col min="3843" max="3843" width="11.5703125" customWidth="1"/>
    <col min="3844" max="3844" width="8.140625" customWidth="1"/>
    <col min="3845" max="3845" width="9.140625" customWidth="1"/>
    <col min="3846" max="3846" width="9.85546875" customWidth="1"/>
    <col min="3847" max="3847" width="6.5703125" customWidth="1"/>
    <col min="3848" max="3848" width="10.42578125" customWidth="1"/>
    <col min="3849" max="3849" width="12" customWidth="1"/>
    <col min="3850" max="3850" width="8.140625" customWidth="1"/>
    <col min="3851" max="3851" width="7.5703125" customWidth="1"/>
    <col min="3852" max="3852" width="13.7109375" customWidth="1"/>
    <col min="3853" max="3853" width="7.85546875" customWidth="1"/>
    <col min="3854" max="3854" width="9" customWidth="1"/>
    <col min="3855" max="3855" width="7.85546875" customWidth="1"/>
    <col min="3856" max="3856" width="10" customWidth="1"/>
    <col min="3861" max="3861" width="9.85546875" bestFit="1" customWidth="1"/>
    <col min="4097" max="4097" width="3.42578125" customWidth="1"/>
    <col min="4098" max="4098" width="22.42578125" customWidth="1"/>
    <col min="4099" max="4099" width="11.5703125" customWidth="1"/>
    <col min="4100" max="4100" width="8.140625" customWidth="1"/>
    <col min="4101" max="4101" width="9.140625" customWidth="1"/>
    <col min="4102" max="4102" width="9.85546875" customWidth="1"/>
    <col min="4103" max="4103" width="6.5703125" customWidth="1"/>
    <col min="4104" max="4104" width="10.42578125" customWidth="1"/>
    <col min="4105" max="4105" width="12" customWidth="1"/>
    <col min="4106" max="4106" width="8.140625" customWidth="1"/>
    <col min="4107" max="4107" width="7.5703125" customWidth="1"/>
    <col min="4108" max="4108" width="13.7109375" customWidth="1"/>
    <col min="4109" max="4109" width="7.85546875" customWidth="1"/>
    <col min="4110" max="4110" width="9" customWidth="1"/>
    <col min="4111" max="4111" width="7.85546875" customWidth="1"/>
    <col min="4112" max="4112" width="10" customWidth="1"/>
    <col min="4117" max="4117" width="9.85546875" bestFit="1" customWidth="1"/>
    <col min="4353" max="4353" width="3.42578125" customWidth="1"/>
    <col min="4354" max="4354" width="22.42578125" customWidth="1"/>
    <col min="4355" max="4355" width="11.5703125" customWidth="1"/>
    <col min="4356" max="4356" width="8.140625" customWidth="1"/>
    <col min="4357" max="4357" width="9.140625" customWidth="1"/>
    <col min="4358" max="4358" width="9.85546875" customWidth="1"/>
    <col min="4359" max="4359" width="6.5703125" customWidth="1"/>
    <col min="4360" max="4360" width="10.42578125" customWidth="1"/>
    <col min="4361" max="4361" width="12" customWidth="1"/>
    <col min="4362" max="4362" width="8.140625" customWidth="1"/>
    <col min="4363" max="4363" width="7.5703125" customWidth="1"/>
    <col min="4364" max="4364" width="13.7109375" customWidth="1"/>
    <col min="4365" max="4365" width="7.85546875" customWidth="1"/>
    <col min="4366" max="4366" width="9" customWidth="1"/>
    <col min="4367" max="4367" width="7.85546875" customWidth="1"/>
    <col min="4368" max="4368" width="10" customWidth="1"/>
    <col min="4373" max="4373" width="9.85546875" bestFit="1" customWidth="1"/>
    <col min="4609" max="4609" width="3.42578125" customWidth="1"/>
    <col min="4610" max="4610" width="22.42578125" customWidth="1"/>
    <col min="4611" max="4611" width="11.5703125" customWidth="1"/>
    <col min="4612" max="4612" width="8.140625" customWidth="1"/>
    <col min="4613" max="4613" width="9.140625" customWidth="1"/>
    <col min="4614" max="4614" width="9.85546875" customWidth="1"/>
    <col min="4615" max="4615" width="6.5703125" customWidth="1"/>
    <col min="4616" max="4616" width="10.42578125" customWidth="1"/>
    <col min="4617" max="4617" width="12" customWidth="1"/>
    <col min="4618" max="4618" width="8.140625" customWidth="1"/>
    <col min="4619" max="4619" width="7.5703125" customWidth="1"/>
    <col min="4620" max="4620" width="13.7109375" customWidth="1"/>
    <col min="4621" max="4621" width="7.85546875" customWidth="1"/>
    <col min="4622" max="4622" width="9" customWidth="1"/>
    <col min="4623" max="4623" width="7.85546875" customWidth="1"/>
    <col min="4624" max="4624" width="10" customWidth="1"/>
    <col min="4629" max="4629" width="9.85546875" bestFit="1" customWidth="1"/>
    <col min="4865" max="4865" width="3.42578125" customWidth="1"/>
    <col min="4866" max="4866" width="22.42578125" customWidth="1"/>
    <col min="4867" max="4867" width="11.5703125" customWidth="1"/>
    <col min="4868" max="4868" width="8.140625" customWidth="1"/>
    <col min="4869" max="4869" width="9.140625" customWidth="1"/>
    <col min="4870" max="4870" width="9.85546875" customWidth="1"/>
    <col min="4871" max="4871" width="6.5703125" customWidth="1"/>
    <col min="4872" max="4872" width="10.42578125" customWidth="1"/>
    <col min="4873" max="4873" width="12" customWidth="1"/>
    <col min="4874" max="4874" width="8.140625" customWidth="1"/>
    <col min="4875" max="4875" width="7.5703125" customWidth="1"/>
    <col min="4876" max="4876" width="13.7109375" customWidth="1"/>
    <col min="4877" max="4877" width="7.85546875" customWidth="1"/>
    <col min="4878" max="4878" width="9" customWidth="1"/>
    <col min="4879" max="4879" width="7.85546875" customWidth="1"/>
    <col min="4880" max="4880" width="10" customWidth="1"/>
    <col min="4885" max="4885" width="9.85546875" bestFit="1" customWidth="1"/>
    <col min="5121" max="5121" width="3.42578125" customWidth="1"/>
    <col min="5122" max="5122" width="22.42578125" customWidth="1"/>
    <col min="5123" max="5123" width="11.5703125" customWidth="1"/>
    <col min="5124" max="5124" width="8.140625" customWidth="1"/>
    <col min="5125" max="5125" width="9.140625" customWidth="1"/>
    <col min="5126" max="5126" width="9.85546875" customWidth="1"/>
    <col min="5127" max="5127" width="6.5703125" customWidth="1"/>
    <col min="5128" max="5128" width="10.42578125" customWidth="1"/>
    <col min="5129" max="5129" width="12" customWidth="1"/>
    <col min="5130" max="5130" width="8.140625" customWidth="1"/>
    <col min="5131" max="5131" width="7.5703125" customWidth="1"/>
    <col min="5132" max="5132" width="13.7109375" customWidth="1"/>
    <col min="5133" max="5133" width="7.85546875" customWidth="1"/>
    <col min="5134" max="5134" width="9" customWidth="1"/>
    <col min="5135" max="5135" width="7.85546875" customWidth="1"/>
    <col min="5136" max="5136" width="10" customWidth="1"/>
    <col min="5141" max="5141" width="9.85546875" bestFit="1" customWidth="1"/>
    <col min="5377" max="5377" width="3.42578125" customWidth="1"/>
    <col min="5378" max="5378" width="22.42578125" customWidth="1"/>
    <col min="5379" max="5379" width="11.5703125" customWidth="1"/>
    <col min="5380" max="5380" width="8.140625" customWidth="1"/>
    <col min="5381" max="5381" width="9.140625" customWidth="1"/>
    <col min="5382" max="5382" width="9.85546875" customWidth="1"/>
    <col min="5383" max="5383" width="6.5703125" customWidth="1"/>
    <col min="5384" max="5384" width="10.42578125" customWidth="1"/>
    <col min="5385" max="5385" width="12" customWidth="1"/>
    <col min="5386" max="5386" width="8.140625" customWidth="1"/>
    <col min="5387" max="5387" width="7.5703125" customWidth="1"/>
    <col min="5388" max="5388" width="13.7109375" customWidth="1"/>
    <col min="5389" max="5389" width="7.85546875" customWidth="1"/>
    <col min="5390" max="5390" width="9" customWidth="1"/>
    <col min="5391" max="5391" width="7.85546875" customWidth="1"/>
    <col min="5392" max="5392" width="10" customWidth="1"/>
    <col min="5397" max="5397" width="9.85546875" bestFit="1" customWidth="1"/>
    <col min="5633" max="5633" width="3.42578125" customWidth="1"/>
    <col min="5634" max="5634" width="22.42578125" customWidth="1"/>
    <col min="5635" max="5635" width="11.5703125" customWidth="1"/>
    <col min="5636" max="5636" width="8.140625" customWidth="1"/>
    <col min="5637" max="5637" width="9.140625" customWidth="1"/>
    <col min="5638" max="5638" width="9.85546875" customWidth="1"/>
    <col min="5639" max="5639" width="6.5703125" customWidth="1"/>
    <col min="5640" max="5640" width="10.42578125" customWidth="1"/>
    <col min="5641" max="5641" width="12" customWidth="1"/>
    <col min="5642" max="5642" width="8.140625" customWidth="1"/>
    <col min="5643" max="5643" width="7.5703125" customWidth="1"/>
    <col min="5644" max="5644" width="13.7109375" customWidth="1"/>
    <col min="5645" max="5645" width="7.85546875" customWidth="1"/>
    <col min="5646" max="5646" width="9" customWidth="1"/>
    <col min="5647" max="5647" width="7.85546875" customWidth="1"/>
    <col min="5648" max="5648" width="10" customWidth="1"/>
    <col min="5653" max="5653" width="9.85546875" bestFit="1" customWidth="1"/>
    <col min="5889" max="5889" width="3.42578125" customWidth="1"/>
    <col min="5890" max="5890" width="22.42578125" customWidth="1"/>
    <col min="5891" max="5891" width="11.5703125" customWidth="1"/>
    <col min="5892" max="5892" width="8.140625" customWidth="1"/>
    <col min="5893" max="5893" width="9.140625" customWidth="1"/>
    <col min="5894" max="5894" width="9.85546875" customWidth="1"/>
    <col min="5895" max="5895" width="6.5703125" customWidth="1"/>
    <col min="5896" max="5896" width="10.42578125" customWidth="1"/>
    <col min="5897" max="5897" width="12" customWidth="1"/>
    <col min="5898" max="5898" width="8.140625" customWidth="1"/>
    <col min="5899" max="5899" width="7.5703125" customWidth="1"/>
    <col min="5900" max="5900" width="13.7109375" customWidth="1"/>
    <col min="5901" max="5901" width="7.85546875" customWidth="1"/>
    <col min="5902" max="5902" width="9" customWidth="1"/>
    <col min="5903" max="5903" width="7.85546875" customWidth="1"/>
    <col min="5904" max="5904" width="10" customWidth="1"/>
    <col min="5909" max="5909" width="9.85546875" bestFit="1" customWidth="1"/>
    <col min="6145" max="6145" width="3.42578125" customWidth="1"/>
    <col min="6146" max="6146" width="22.42578125" customWidth="1"/>
    <col min="6147" max="6147" width="11.5703125" customWidth="1"/>
    <col min="6148" max="6148" width="8.140625" customWidth="1"/>
    <col min="6149" max="6149" width="9.140625" customWidth="1"/>
    <col min="6150" max="6150" width="9.85546875" customWidth="1"/>
    <col min="6151" max="6151" width="6.5703125" customWidth="1"/>
    <col min="6152" max="6152" width="10.42578125" customWidth="1"/>
    <col min="6153" max="6153" width="12" customWidth="1"/>
    <col min="6154" max="6154" width="8.140625" customWidth="1"/>
    <col min="6155" max="6155" width="7.5703125" customWidth="1"/>
    <col min="6156" max="6156" width="13.7109375" customWidth="1"/>
    <col min="6157" max="6157" width="7.85546875" customWidth="1"/>
    <col min="6158" max="6158" width="9" customWidth="1"/>
    <col min="6159" max="6159" width="7.85546875" customWidth="1"/>
    <col min="6160" max="6160" width="10" customWidth="1"/>
    <col min="6165" max="6165" width="9.85546875" bestFit="1" customWidth="1"/>
    <col min="6401" max="6401" width="3.42578125" customWidth="1"/>
    <col min="6402" max="6402" width="22.42578125" customWidth="1"/>
    <col min="6403" max="6403" width="11.5703125" customWidth="1"/>
    <col min="6404" max="6404" width="8.140625" customWidth="1"/>
    <col min="6405" max="6405" width="9.140625" customWidth="1"/>
    <col min="6406" max="6406" width="9.85546875" customWidth="1"/>
    <col min="6407" max="6407" width="6.5703125" customWidth="1"/>
    <col min="6408" max="6408" width="10.42578125" customWidth="1"/>
    <col min="6409" max="6409" width="12" customWidth="1"/>
    <col min="6410" max="6410" width="8.140625" customWidth="1"/>
    <col min="6411" max="6411" width="7.5703125" customWidth="1"/>
    <col min="6412" max="6412" width="13.7109375" customWidth="1"/>
    <col min="6413" max="6413" width="7.85546875" customWidth="1"/>
    <col min="6414" max="6414" width="9" customWidth="1"/>
    <col min="6415" max="6415" width="7.85546875" customWidth="1"/>
    <col min="6416" max="6416" width="10" customWidth="1"/>
    <col min="6421" max="6421" width="9.85546875" bestFit="1" customWidth="1"/>
    <col min="6657" max="6657" width="3.42578125" customWidth="1"/>
    <col min="6658" max="6658" width="22.42578125" customWidth="1"/>
    <col min="6659" max="6659" width="11.5703125" customWidth="1"/>
    <col min="6660" max="6660" width="8.140625" customWidth="1"/>
    <col min="6661" max="6661" width="9.140625" customWidth="1"/>
    <col min="6662" max="6662" width="9.85546875" customWidth="1"/>
    <col min="6663" max="6663" width="6.5703125" customWidth="1"/>
    <col min="6664" max="6664" width="10.42578125" customWidth="1"/>
    <col min="6665" max="6665" width="12" customWidth="1"/>
    <col min="6666" max="6666" width="8.140625" customWidth="1"/>
    <col min="6667" max="6667" width="7.5703125" customWidth="1"/>
    <col min="6668" max="6668" width="13.7109375" customWidth="1"/>
    <col min="6669" max="6669" width="7.85546875" customWidth="1"/>
    <col min="6670" max="6670" width="9" customWidth="1"/>
    <col min="6671" max="6671" width="7.85546875" customWidth="1"/>
    <col min="6672" max="6672" width="10" customWidth="1"/>
    <col min="6677" max="6677" width="9.85546875" bestFit="1" customWidth="1"/>
    <col min="6913" max="6913" width="3.42578125" customWidth="1"/>
    <col min="6914" max="6914" width="22.42578125" customWidth="1"/>
    <col min="6915" max="6915" width="11.5703125" customWidth="1"/>
    <col min="6916" max="6916" width="8.140625" customWidth="1"/>
    <col min="6917" max="6917" width="9.140625" customWidth="1"/>
    <col min="6918" max="6918" width="9.85546875" customWidth="1"/>
    <col min="6919" max="6919" width="6.5703125" customWidth="1"/>
    <col min="6920" max="6920" width="10.42578125" customWidth="1"/>
    <col min="6921" max="6921" width="12" customWidth="1"/>
    <col min="6922" max="6922" width="8.140625" customWidth="1"/>
    <col min="6923" max="6923" width="7.5703125" customWidth="1"/>
    <col min="6924" max="6924" width="13.7109375" customWidth="1"/>
    <col min="6925" max="6925" width="7.85546875" customWidth="1"/>
    <col min="6926" max="6926" width="9" customWidth="1"/>
    <col min="6927" max="6927" width="7.85546875" customWidth="1"/>
    <col min="6928" max="6928" width="10" customWidth="1"/>
    <col min="6933" max="6933" width="9.85546875" bestFit="1" customWidth="1"/>
    <col min="7169" max="7169" width="3.42578125" customWidth="1"/>
    <col min="7170" max="7170" width="22.42578125" customWidth="1"/>
    <col min="7171" max="7171" width="11.5703125" customWidth="1"/>
    <col min="7172" max="7172" width="8.140625" customWidth="1"/>
    <col min="7173" max="7173" width="9.140625" customWidth="1"/>
    <col min="7174" max="7174" width="9.85546875" customWidth="1"/>
    <col min="7175" max="7175" width="6.5703125" customWidth="1"/>
    <col min="7176" max="7176" width="10.42578125" customWidth="1"/>
    <col min="7177" max="7177" width="12" customWidth="1"/>
    <col min="7178" max="7178" width="8.140625" customWidth="1"/>
    <col min="7179" max="7179" width="7.5703125" customWidth="1"/>
    <col min="7180" max="7180" width="13.7109375" customWidth="1"/>
    <col min="7181" max="7181" width="7.85546875" customWidth="1"/>
    <col min="7182" max="7182" width="9" customWidth="1"/>
    <col min="7183" max="7183" width="7.85546875" customWidth="1"/>
    <col min="7184" max="7184" width="10" customWidth="1"/>
    <col min="7189" max="7189" width="9.85546875" bestFit="1" customWidth="1"/>
    <col min="7425" max="7425" width="3.42578125" customWidth="1"/>
    <col min="7426" max="7426" width="22.42578125" customWidth="1"/>
    <col min="7427" max="7427" width="11.5703125" customWidth="1"/>
    <col min="7428" max="7428" width="8.140625" customWidth="1"/>
    <col min="7429" max="7429" width="9.140625" customWidth="1"/>
    <col min="7430" max="7430" width="9.85546875" customWidth="1"/>
    <col min="7431" max="7431" width="6.5703125" customWidth="1"/>
    <col min="7432" max="7432" width="10.42578125" customWidth="1"/>
    <col min="7433" max="7433" width="12" customWidth="1"/>
    <col min="7434" max="7434" width="8.140625" customWidth="1"/>
    <col min="7435" max="7435" width="7.5703125" customWidth="1"/>
    <col min="7436" max="7436" width="13.7109375" customWidth="1"/>
    <col min="7437" max="7437" width="7.85546875" customWidth="1"/>
    <col min="7438" max="7438" width="9" customWidth="1"/>
    <col min="7439" max="7439" width="7.85546875" customWidth="1"/>
    <col min="7440" max="7440" width="10" customWidth="1"/>
    <col min="7445" max="7445" width="9.85546875" bestFit="1" customWidth="1"/>
    <col min="7681" max="7681" width="3.42578125" customWidth="1"/>
    <col min="7682" max="7682" width="22.42578125" customWidth="1"/>
    <col min="7683" max="7683" width="11.5703125" customWidth="1"/>
    <col min="7684" max="7684" width="8.140625" customWidth="1"/>
    <col min="7685" max="7685" width="9.140625" customWidth="1"/>
    <col min="7686" max="7686" width="9.85546875" customWidth="1"/>
    <col min="7687" max="7687" width="6.5703125" customWidth="1"/>
    <col min="7688" max="7688" width="10.42578125" customWidth="1"/>
    <col min="7689" max="7689" width="12" customWidth="1"/>
    <col min="7690" max="7690" width="8.140625" customWidth="1"/>
    <col min="7691" max="7691" width="7.5703125" customWidth="1"/>
    <col min="7692" max="7692" width="13.7109375" customWidth="1"/>
    <col min="7693" max="7693" width="7.85546875" customWidth="1"/>
    <col min="7694" max="7694" width="9" customWidth="1"/>
    <col min="7695" max="7695" width="7.85546875" customWidth="1"/>
    <col min="7696" max="7696" width="10" customWidth="1"/>
    <col min="7701" max="7701" width="9.85546875" bestFit="1" customWidth="1"/>
    <col min="7937" max="7937" width="3.42578125" customWidth="1"/>
    <col min="7938" max="7938" width="22.42578125" customWidth="1"/>
    <col min="7939" max="7939" width="11.5703125" customWidth="1"/>
    <col min="7940" max="7940" width="8.140625" customWidth="1"/>
    <col min="7941" max="7941" width="9.140625" customWidth="1"/>
    <col min="7942" max="7942" width="9.85546875" customWidth="1"/>
    <col min="7943" max="7943" width="6.5703125" customWidth="1"/>
    <col min="7944" max="7944" width="10.42578125" customWidth="1"/>
    <col min="7945" max="7945" width="12" customWidth="1"/>
    <col min="7946" max="7946" width="8.140625" customWidth="1"/>
    <col min="7947" max="7947" width="7.5703125" customWidth="1"/>
    <col min="7948" max="7948" width="13.7109375" customWidth="1"/>
    <col min="7949" max="7949" width="7.85546875" customWidth="1"/>
    <col min="7950" max="7950" width="9" customWidth="1"/>
    <col min="7951" max="7951" width="7.85546875" customWidth="1"/>
    <col min="7952" max="7952" width="10" customWidth="1"/>
    <col min="7957" max="7957" width="9.85546875" bestFit="1" customWidth="1"/>
    <col min="8193" max="8193" width="3.42578125" customWidth="1"/>
    <col min="8194" max="8194" width="22.42578125" customWidth="1"/>
    <col min="8195" max="8195" width="11.5703125" customWidth="1"/>
    <col min="8196" max="8196" width="8.140625" customWidth="1"/>
    <col min="8197" max="8197" width="9.140625" customWidth="1"/>
    <col min="8198" max="8198" width="9.85546875" customWidth="1"/>
    <col min="8199" max="8199" width="6.5703125" customWidth="1"/>
    <col min="8200" max="8200" width="10.42578125" customWidth="1"/>
    <col min="8201" max="8201" width="12" customWidth="1"/>
    <col min="8202" max="8202" width="8.140625" customWidth="1"/>
    <col min="8203" max="8203" width="7.5703125" customWidth="1"/>
    <col min="8204" max="8204" width="13.7109375" customWidth="1"/>
    <col min="8205" max="8205" width="7.85546875" customWidth="1"/>
    <col min="8206" max="8206" width="9" customWidth="1"/>
    <col min="8207" max="8207" width="7.85546875" customWidth="1"/>
    <col min="8208" max="8208" width="10" customWidth="1"/>
    <col min="8213" max="8213" width="9.85546875" bestFit="1" customWidth="1"/>
    <col min="8449" max="8449" width="3.42578125" customWidth="1"/>
    <col min="8450" max="8450" width="22.42578125" customWidth="1"/>
    <col min="8451" max="8451" width="11.5703125" customWidth="1"/>
    <col min="8452" max="8452" width="8.140625" customWidth="1"/>
    <col min="8453" max="8453" width="9.140625" customWidth="1"/>
    <col min="8454" max="8454" width="9.85546875" customWidth="1"/>
    <col min="8455" max="8455" width="6.5703125" customWidth="1"/>
    <col min="8456" max="8456" width="10.42578125" customWidth="1"/>
    <col min="8457" max="8457" width="12" customWidth="1"/>
    <col min="8458" max="8458" width="8.140625" customWidth="1"/>
    <col min="8459" max="8459" width="7.5703125" customWidth="1"/>
    <col min="8460" max="8460" width="13.7109375" customWidth="1"/>
    <col min="8461" max="8461" width="7.85546875" customWidth="1"/>
    <col min="8462" max="8462" width="9" customWidth="1"/>
    <col min="8463" max="8463" width="7.85546875" customWidth="1"/>
    <col min="8464" max="8464" width="10" customWidth="1"/>
    <col min="8469" max="8469" width="9.85546875" bestFit="1" customWidth="1"/>
    <col min="8705" max="8705" width="3.42578125" customWidth="1"/>
    <col min="8706" max="8706" width="22.42578125" customWidth="1"/>
    <col min="8707" max="8707" width="11.5703125" customWidth="1"/>
    <col min="8708" max="8708" width="8.140625" customWidth="1"/>
    <col min="8709" max="8709" width="9.140625" customWidth="1"/>
    <col min="8710" max="8710" width="9.85546875" customWidth="1"/>
    <col min="8711" max="8711" width="6.5703125" customWidth="1"/>
    <col min="8712" max="8712" width="10.42578125" customWidth="1"/>
    <col min="8713" max="8713" width="12" customWidth="1"/>
    <col min="8714" max="8714" width="8.140625" customWidth="1"/>
    <col min="8715" max="8715" width="7.5703125" customWidth="1"/>
    <col min="8716" max="8716" width="13.7109375" customWidth="1"/>
    <col min="8717" max="8717" width="7.85546875" customWidth="1"/>
    <col min="8718" max="8718" width="9" customWidth="1"/>
    <col min="8719" max="8719" width="7.85546875" customWidth="1"/>
    <col min="8720" max="8720" width="10" customWidth="1"/>
    <col min="8725" max="8725" width="9.85546875" bestFit="1" customWidth="1"/>
    <col min="8961" max="8961" width="3.42578125" customWidth="1"/>
    <col min="8962" max="8962" width="22.42578125" customWidth="1"/>
    <col min="8963" max="8963" width="11.5703125" customWidth="1"/>
    <col min="8964" max="8964" width="8.140625" customWidth="1"/>
    <col min="8965" max="8965" width="9.140625" customWidth="1"/>
    <col min="8966" max="8966" width="9.85546875" customWidth="1"/>
    <col min="8967" max="8967" width="6.5703125" customWidth="1"/>
    <col min="8968" max="8968" width="10.42578125" customWidth="1"/>
    <col min="8969" max="8969" width="12" customWidth="1"/>
    <col min="8970" max="8970" width="8.140625" customWidth="1"/>
    <col min="8971" max="8971" width="7.5703125" customWidth="1"/>
    <col min="8972" max="8972" width="13.7109375" customWidth="1"/>
    <col min="8973" max="8973" width="7.85546875" customWidth="1"/>
    <col min="8974" max="8974" width="9" customWidth="1"/>
    <col min="8975" max="8975" width="7.85546875" customWidth="1"/>
    <col min="8976" max="8976" width="10" customWidth="1"/>
    <col min="8981" max="8981" width="9.85546875" bestFit="1" customWidth="1"/>
    <col min="9217" max="9217" width="3.42578125" customWidth="1"/>
    <col min="9218" max="9218" width="22.42578125" customWidth="1"/>
    <col min="9219" max="9219" width="11.5703125" customWidth="1"/>
    <col min="9220" max="9220" width="8.140625" customWidth="1"/>
    <col min="9221" max="9221" width="9.140625" customWidth="1"/>
    <col min="9222" max="9222" width="9.85546875" customWidth="1"/>
    <col min="9223" max="9223" width="6.5703125" customWidth="1"/>
    <col min="9224" max="9224" width="10.42578125" customWidth="1"/>
    <col min="9225" max="9225" width="12" customWidth="1"/>
    <col min="9226" max="9226" width="8.140625" customWidth="1"/>
    <col min="9227" max="9227" width="7.5703125" customWidth="1"/>
    <col min="9228" max="9228" width="13.7109375" customWidth="1"/>
    <col min="9229" max="9229" width="7.85546875" customWidth="1"/>
    <col min="9230" max="9230" width="9" customWidth="1"/>
    <col min="9231" max="9231" width="7.85546875" customWidth="1"/>
    <col min="9232" max="9232" width="10" customWidth="1"/>
    <col min="9237" max="9237" width="9.85546875" bestFit="1" customWidth="1"/>
    <col min="9473" max="9473" width="3.42578125" customWidth="1"/>
    <col min="9474" max="9474" width="22.42578125" customWidth="1"/>
    <col min="9475" max="9475" width="11.5703125" customWidth="1"/>
    <col min="9476" max="9476" width="8.140625" customWidth="1"/>
    <col min="9477" max="9477" width="9.140625" customWidth="1"/>
    <col min="9478" max="9478" width="9.85546875" customWidth="1"/>
    <col min="9479" max="9479" width="6.5703125" customWidth="1"/>
    <col min="9480" max="9480" width="10.42578125" customWidth="1"/>
    <col min="9481" max="9481" width="12" customWidth="1"/>
    <col min="9482" max="9482" width="8.140625" customWidth="1"/>
    <col min="9483" max="9483" width="7.5703125" customWidth="1"/>
    <col min="9484" max="9484" width="13.7109375" customWidth="1"/>
    <col min="9485" max="9485" width="7.85546875" customWidth="1"/>
    <col min="9486" max="9486" width="9" customWidth="1"/>
    <col min="9487" max="9487" width="7.85546875" customWidth="1"/>
    <col min="9488" max="9488" width="10" customWidth="1"/>
    <col min="9493" max="9493" width="9.85546875" bestFit="1" customWidth="1"/>
    <col min="9729" max="9729" width="3.42578125" customWidth="1"/>
    <col min="9730" max="9730" width="22.42578125" customWidth="1"/>
    <col min="9731" max="9731" width="11.5703125" customWidth="1"/>
    <col min="9732" max="9732" width="8.140625" customWidth="1"/>
    <col min="9733" max="9733" width="9.140625" customWidth="1"/>
    <col min="9734" max="9734" width="9.85546875" customWidth="1"/>
    <col min="9735" max="9735" width="6.5703125" customWidth="1"/>
    <col min="9736" max="9736" width="10.42578125" customWidth="1"/>
    <col min="9737" max="9737" width="12" customWidth="1"/>
    <col min="9738" max="9738" width="8.140625" customWidth="1"/>
    <col min="9739" max="9739" width="7.5703125" customWidth="1"/>
    <col min="9740" max="9740" width="13.7109375" customWidth="1"/>
    <col min="9741" max="9741" width="7.85546875" customWidth="1"/>
    <col min="9742" max="9742" width="9" customWidth="1"/>
    <col min="9743" max="9743" width="7.85546875" customWidth="1"/>
    <col min="9744" max="9744" width="10" customWidth="1"/>
    <col min="9749" max="9749" width="9.85546875" bestFit="1" customWidth="1"/>
    <col min="9985" max="9985" width="3.42578125" customWidth="1"/>
    <col min="9986" max="9986" width="22.42578125" customWidth="1"/>
    <col min="9987" max="9987" width="11.5703125" customWidth="1"/>
    <col min="9988" max="9988" width="8.140625" customWidth="1"/>
    <col min="9989" max="9989" width="9.140625" customWidth="1"/>
    <col min="9990" max="9990" width="9.85546875" customWidth="1"/>
    <col min="9991" max="9991" width="6.5703125" customWidth="1"/>
    <col min="9992" max="9992" width="10.42578125" customWidth="1"/>
    <col min="9993" max="9993" width="12" customWidth="1"/>
    <col min="9994" max="9994" width="8.140625" customWidth="1"/>
    <col min="9995" max="9995" width="7.5703125" customWidth="1"/>
    <col min="9996" max="9996" width="13.7109375" customWidth="1"/>
    <col min="9997" max="9997" width="7.85546875" customWidth="1"/>
    <col min="9998" max="9998" width="9" customWidth="1"/>
    <col min="9999" max="9999" width="7.85546875" customWidth="1"/>
    <col min="10000" max="10000" width="10" customWidth="1"/>
    <col min="10005" max="10005" width="9.85546875" bestFit="1" customWidth="1"/>
    <col min="10241" max="10241" width="3.42578125" customWidth="1"/>
    <col min="10242" max="10242" width="22.42578125" customWidth="1"/>
    <col min="10243" max="10243" width="11.5703125" customWidth="1"/>
    <col min="10244" max="10244" width="8.140625" customWidth="1"/>
    <col min="10245" max="10245" width="9.140625" customWidth="1"/>
    <col min="10246" max="10246" width="9.85546875" customWidth="1"/>
    <col min="10247" max="10247" width="6.5703125" customWidth="1"/>
    <col min="10248" max="10248" width="10.42578125" customWidth="1"/>
    <col min="10249" max="10249" width="12" customWidth="1"/>
    <col min="10250" max="10250" width="8.140625" customWidth="1"/>
    <col min="10251" max="10251" width="7.5703125" customWidth="1"/>
    <col min="10252" max="10252" width="13.7109375" customWidth="1"/>
    <col min="10253" max="10253" width="7.85546875" customWidth="1"/>
    <col min="10254" max="10254" width="9" customWidth="1"/>
    <col min="10255" max="10255" width="7.85546875" customWidth="1"/>
    <col min="10256" max="10256" width="10" customWidth="1"/>
    <col min="10261" max="10261" width="9.85546875" bestFit="1" customWidth="1"/>
    <col min="10497" max="10497" width="3.42578125" customWidth="1"/>
    <col min="10498" max="10498" width="22.42578125" customWidth="1"/>
    <col min="10499" max="10499" width="11.5703125" customWidth="1"/>
    <col min="10500" max="10500" width="8.140625" customWidth="1"/>
    <col min="10501" max="10501" width="9.140625" customWidth="1"/>
    <col min="10502" max="10502" width="9.85546875" customWidth="1"/>
    <col min="10503" max="10503" width="6.5703125" customWidth="1"/>
    <col min="10504" max="10504" width="10.42578125" customWidth="1"/>
    <col min="10505" max="10505" width="12" customWidth="1"/>
    <col min="10506" max="10506" width="8.140625" customWidth="1"/>
    <col min="10507" max="10507" width="7.5703125" customWidth="1"/>
    <col min="10508" max="10508" width="13.7109375" customWidth="1"/>
    <col min="10509" max="10509" width="7.85546875" customWidth="1"/>
    <col min="10510" max="10510" width="9" customWidth="1"/>
    <col min="10511" max="10511" width="7.85546875" customWidth="1"/>
    <col min="10512" max="10512" width="10" customWidth="1"/>
    <col min="10517" max="10517" width="9.85546875" bestFit="1" customWidth="1"/>
    <col min="10753" max="10753" width="3.42578125" customWidth="1"/>
    <col min="10754" max="10754" width="22.42578125" customWidth="1"/>
    <col min="10755" max="10755" width="11.5703125" customWidth="1"/>
    <col min="10756" max="10756" width="8.140625" customWidth="1"/>
    <col min="10757" max="10757" width="9.140625" customWidth="1"/>
    <col min="10758" max="10758" width="9.85546875" customWidth="1"/>
    <col min="10759" max="10759" width="6.5703125" customWidth="1"/>
    <col min="10760" max="10760" width="10.42578125" customWidth="1"/>
    <col min="10761" max="10761" width="12" customWidth="1"/>
    <col min="10762" max="10762" width="8.140625" customWidth="1"/>
    <col min="10763" max="10763" width="7.5703125" customWidth="1"/>
    <col min="10764" max="10764" width="13.7109375" customWidth="1"/>
    <col min="10765" max="10765" width="7.85546875" customWidth="1"/>
    <col min="10766" max="10766" width="9" customWidth="1"/>
    <col min="10767" max="10767" width="7.85546875" customWidth="1"/>
    <col min="10768" max="10768" width="10" customWidth="1"/>
    <col min="10773" max="10773" width="9.85546875" bestFit="1" customWidth="1"/>
    <col min="11009" max="11009" width="3.42578125" customWidth="1"/>
    <col min="11010" max="11010" width="22.42578125" customWidth="1"/>
    <col min="11011" max="11011" width="11.5703125" customWidth="1"/>
    <col min="11012" max="11012" width="8.140625" customWidth="1"/>
    <col min="11013" max="11013" width="9.140625" customWidth="1"/>
    <col min="11014" max="11014" width="9.85546875" customWidth="1"/>
    <col min="11015" max="11015" width="6.5703125" customWidth="1"/>
    <col min="11016" max="11016" width="10.42578125" customWidth="1"/>
    <col min="11017" max="11017" width="12" customWidth="1"/>
    <col min="11018" max="11018" width="8.140625" customWidth="1"/>
    <col min="11019" max="11019" width="7.5703125" customWidth="1"/>
    <col min="11020" max="11020" width="13.7109375" customWidth="1"/>
    <col min="11021" max="11021" width="7.85546875" customWidth="1"/>
    <col min="11022" max="11022" width="9" customWidth="1"/>
    <col min="11023" max="11023" width="7.85546875" customWidth="1"/>
    <col min="11024" max="11024" width="10" customWidth="1"/>
    <col min="11029" max="11029" width="9.85546875" bestFit="1" customWidth="1"/>
    <col min="11265" max="11265" width="3.42578125" customWidth="1"/>
    <col min="11266" max="11266" width="22.42578125" customWidth="1"/>
    <col min="11267" max="11267" width="11.5703125" customWidth="1"/>
    <col min="11268" max="11268" width="8.140625" customWidth="1"/>
    <col min="11269" max="11269" width="9.140625" customWidth="1"/>
    <col min="11270" max="11270" width="9.85546875" customWidth="1"/>
    <col min="11271" max="11271" width="6.5703125" customWidth="1"/>
    <col min="11272" max="11272" width="10.42578125" customWidth="1"/>
    <col min="11273" max="11273" width="12" customWidth="1"/>
    <col min="11274" max="11274" width="8.140625" customWidth="1"/>
    <col min="11275" max="11275" width="7.5703125" customWidth="1"/>
    <col min="11276" max="11276" width="13.7109375" customWidth="1"/>
    <col min="11277" max="11277" width="7.85546875" customWidth="1"/>
    <col min="11278" max="11278" width="9" customWidth="1"/>
    <col min="11279" max="11279" width="7.85546875" customWidth="1"/>
    <col min="11280" max="11280" width="10" customWidth="1"/>
    <col min="11285" max="11285" width="9.85546875" bestFit="1" customWidth="1"/>
    <col min="11521" max="11521" width="3.42578125" customWidth="1"/>
    <col min="11522" max="11522" width="22.42578125" customWidth="1"/>
    <col min="11523" max="11523" width="11.5703125" customWidth="1"/>
    <col min="11524" max="11524" width="8.140625" customWidth="1"/>
    <col min="11525" max="11525" width="9.140625" customWidth="1"/>
    <col min="11526" max="11526" width="9.85546875" customWidth="1"/>
    <col min="11527" max="11527" width="6.5703125" customWidth="1"/>
    <col min="11528" max="11528" width="10.42578125" customWidth="1"/>
    <col min="11529" max="11529" width="12" customWidth="1"/>
    <col min="11530" max="11530" width="8.140625" customWidth="1"/>
    <col min="11531" max="11531" width="7.5703125" customWidth="1"/>
    <col min="11532" max="11532" width="13.7109375" customWidth="1"/>
    <col min="11533" max="11533" width="7.85546875" customWidth="1"/>
    <col min="11534" max="11534" width="9" customWidth="1"/>
    <col min="11535" max="11535" width="7.85546875" customWidth="1"/>
    <col min="11536" max="11536" width="10" customWidth="1"/>
    <col min="11541" max="11541" width="9.85546875" bestFit="1" customWidth="1"/>
    <col min="11777" max="11777" width="3.42578125" customWidth="1"/>
    <col min="11778" max="11778" width="22.42578125" customWidth="1"/>
    <col min="11779" max="11779" width="11.5703125" customWidth="1"/>
    <col min="11780" max="11780" width="8.140625" customWidth="1"/>
    <col min="11781" max="11781" width="9.140625" customWidth="1"/>
    <col min="11782" max="11782" width="9.85546875" customWidth="1"/>
    <col min="11783" max="11783" width="6.5703125" customWidth="1"/>
    <col min="11784" max="11784" width="10.42578125" customWidth="1"/>
    <col min="11785" max="11785" width="12" customWidth="1"/>
    <col min="11786" max="11786" width="8.140625" customWidth="1"/>
    <col min="11787" max="11787" width="7.5703125" customWidth="1"/>
    <col min="11788" max="11788" width="13.7109375" customWidth="1"/>
    <col min="11789" max="11789" width="7.85546875" customWidth="1"/>
    <col min="11790" max="11790" width="9" customWidth="1"/>
    <col min="11791" max="11791" width="7.85546875" customWidth="1"/>
    <col min="11792" max="11792" width="10" customWidth="1"/>
    <col min="11797" max="11797" width="9.85546875" bestFit="1" customWidth="1"/>
    <col min="12033" max="12033" width="3.42578125" customWidth="1"/>
    <col min="12034" max="12034" width="22.42578125" customWidth="1"/>
    <col min="12035" max="12035" width="11.5703125" customWidth="1"/>
    <col min="12036" max="12036" width="8.140625" customWidth="1"/>
    <col min="12037" max="12037" width="9.140625" customWidth="1"/>
    <col min="12038" max="12038" width="9.85546875" customWidth="1"/>
    <col min="12039" max="12039" width="6.5703125" customWidth="1"/>
    <col min="12040" max="12040" width="10.42578125" customWidth="1"/>
    <col min="12041" max="12041" width="12" customWidth="1"/>
    <col min="12042" max="12042" width="8.140625" customWidth="1"/>
    <col min="12043" max="12043" width="7.5703125" customWidth="1"/>
    <col min="12044" max="12044" width="13.7109375" customWidth="1"/>
    <col min="12045" max="12045" width="7.85546875" customWidth="1"/>
    <col min="12046" max="12046" width="9" customWidth="1"/>
    <col min="12047" max="12047" width="7.85546875" customWidth="1"/>
    <col min="12048" max="12048" width="10" customWidth="1"/>
    <col min="12053" max="12053" width="9.85546875" bestFit="1" customWidth="1"/>
    <col min="12289" max="12289" width="3.42578125" customWidth="1"/>
    <col min="12290" max="12290" width="22.42578125" customWidth="1"/>
    <col min="12291" max="12291" width="11.5703125" customWidth="1"/>
    <col min="12292" max="12292" width="8.140625" customWidth="1"/>
    <col min="12293" max="12293" width="9.140625" customWidth="1"/>
    <col min="12294" max="12294" width="9.85546875" customWidth="1"/>
    <col min="12295" max="12295" width="6.5703125" customWidth="1"/>
    <col min="12296" max="12296" width="10.42578125" customWidth="1"/>
    <col min="12297" max="12297" width="12" customWidth="1"/>
    <col min="12298" max="12298" width="8.140625" customWidth="1"/>
    <col min="12299" max="12299" width="7.5703125" customWidth="1"/>
    <col min="12300" max="12300" width="13.7109375" customWidth="1"/>
    <col min="12301" max="12301" width="7.85546875" customWidth="1"/>
    <col min="12302" max="12302" width="9" customWidth="1"/>
    <col min="12303" max="12303" width="7.85546875" customWidth="1"/>
    <col min="12304" max="12304" width="10" customWidth="1"/>
    <col min="12309" max="12309" width="9.85546875" bestFit="1" customWidth="1"/>
    <col min="12545" max="12545" width="3.42578125" customWidth="1"/>
    <col min="12546" max="12546" width="22.42578125" customWidth="1"/>
    <col min="12547" max="12547" width="11.5703125" customWidth="1"/>
    <col min="12548" max="12548" width="8.140625" customWidth="1"/>
    <col min="12549" max="12549" width="9.140625" customWidth="1"/>
    <col min="12550" max="12550" width="9.85546875" customWidth="1"/>
    <col min="12551" max="12551" width="6.5703125" customWidth="1"/>
    <col min="12552" max="12552" width="10.42578125" customWidth="1"/>
    <col min="12553" max="12553" width="12" customWidth="1"/>
    <col min="12554" max="12554" width="8.140625" customWidth="1"/>
    <col min="12555" max="12555" width="7.5703125" customWidth="1"/>
    <col min="12556" max="12556" width="13.7109375" customWidth="1"/>
    <col min="12557" max="12557" width="7.85546875" customWidth="1"/>
    <col min="12558" max="12558" width="9" customWidth="1"/>
    <col min="12559" max="12559" width="7.85546875" customWidth="1"/>
    <col min="12560" max="12560" width="10" customWidth="1"/>
    <col min="12565" max="12565" width="9.85546875" bestFit="1" customWidth="1"/>
    <col min="12801" max="12801" width="3.42578125" customWidth="1"/>
    <col min="12802" max="12802" width="22.42578125" customWidth="1"/>
    <col min="12803" max="12803" width="11.5703125" customWidth="1"/>
    <col min="12804" max="12804" width="8.140625" customWidth="1"/>
    <col min="12805" max="12805" width="9.140625" customWidth="1"/>
    <col min="12806" max="12806" width="9.85546875" customWidth="1"/>
    <col min="12807" max="12807" width="6.5703125" customWidth="1"/>
    <col min="12808" max="12808" width="10.42578125" customWidth="1"/>
    <col min="12809" max="12809" width="12" customWidth="1"/>
    <col min="12810" max="12810" width="8.140625" customWidth="1"/>
    <col min="12811" max="12811" width="7.5703125" customWidth="1"/>
    <col min="12812" max="12812" width="13.7109375" customWidth="1"/>
    <col min="12813" max="12813" width="7.85546875" customWidth="1"/>
    <col min="12814" max="12814" width="9" customWidth="1"/>
    <col min="12815" max="12815" width="7.85546875" customWidth="1"/>
    <col min="12816" max="12816" width="10" customWidth="1"/>
    <col min="12821" max="12821" width="9.85546875" bestFit="1" customWidth="1"/>
    <col min="13057" max="13057" width="3.42578125" customWidth="1"/>
    <col min="13058" max="13058" width="22.42578125" customWidth="1"/>
    <col min="13059" max="13059" width="11.5703125" customWidth="1"/>
    <col min="13060" max="13060" width="8.140625" customWidth="1"/>
    <col min="13061" max="13061" width="9.140625" customWidth="1"/>
    <col min="13062" max="13062" width="9.85546875" customWidth="1"/>
    <col min="13063" max="13063" width="6.5703125" customWidth="1"/>
    <col min="13064" max="13064" width="10.42578125" customWidth="1"/>
    <col min="13065" max="13065" width="12" customWidth="1"/>
    <col min="13066" max="13066" width="8.140625" customWidth="1"/>
    <col min="13067" max="13067" width="7.5703125" customWidth="1"/>
    <col min="13068" max="13068" width="13.7109375" customWidth="1"/>
    <col min="13069" max="13069" width="7.85546875" customWidth="1"/>
    <col min="13070" max="13070" width="9" customWidth="1"/>
    <col min="13071" max="13071" width="7.85546875" customWidth="1"/>
    <col min="13072" max="13072" width="10" customWidth="1"/>
    <col min="13077" max="13077" width="9.85546875" bestFit="1" customWidth="1"/>
    <col min="13313" max="13313" width="3.42578125" customWidth="1"/>
    <col min="13314" max="13314" width="22.42578125" customWidth="1"/>
    <col min="13315" max="13315" width="11.5703125" customWidth="1"/>
    <col min="13316" max="13316" width="8.140625" customWidth="1"/>
    <col min="13317" max="13317" width="9.140625" customWidth="1"/>
    <col min="13318" max="13318" width="9.85546875" customWidth="1"/>
    <col min="13319" max="13319" width="6.5703125" customWidth="1"/>
    <col min="13320" max="13320" width="10.42578125" customWidth="1"/>
    <col min="13321" max="13321" width="12" customWidth="1"/>
    <col min="13322" max="13322" width="8.140625" customWidth="1"/>
    <col min="13323" max="13323" width="7.5703125" customWidth="1"/>
    <col min="13324" max="13324" width="13.7109375" customWidth="1"/>
    <col min="13325" max="13325" width="7.85546875" customWidth="1"/>
    <col min="13326" max="13326" width="9" customWidth="1"/>
    <col min="13327" max="13327" width="7.85546875" customWidth="1"/>
    <col min="13328" max="13328" width="10" customWidth="1"/>
    <col min="13333" max="13333" width="9.85546875" bestFit="1" customWidth="1"/>
    <col min="13569" max="13569" width="3.42578125" customWidth="1"/>
    <col min="13570" max="13570" width="22.42578125" customWidth="1"/>
    <col min="13571" max="13571" width="11.5703125" customWidth="1"/>
    <col min="13572" max="13572" width="8.140625" customWidth="1"/>
    <col min="13573" max="13573" width="9.140625" customWidth="1"/>
    <col min="13574" max="13574" width="9.85546875" customWidth="1"/>
    <col min="13575" max="13575" width="6.5703125" customWidth="1"/>
    <col min="13576" max="13576" width="10.42578125" customWidth="1"/>
    <col min="13577" max="13577" width="12" customWidth="1"/>
    <col min="13578" max="13578" width="8.140625" customWidth="1"/>
    <col min="13579" max="13579" width="7.5703125" customWidth="1"/>
    <col min="13580" max="13580" width="13.7109375" customWidth="1"/>
    <col min="13581" max="13581" width="7.85546875" customWidth="1"/>
    <col min="13582" max="13582" width="9" customWidth="1"/>
    <col min="13583" max="13583" width="7.85546875" customWidth="1"/>
    <col min="13584" max="13584" width="10" customWidth="1"/>
    <col min="13589" max="13589" width="9.85546875" bestFit="1" customWidth="1"/>
    <col min="13825" max="13825" width="3.42578125" customWidth="1"/>
    <col min="13826" max="13826" width="22.42578125" customWidth="1"/>
    <col min="13827" max="13827" width="11.5703125" customWidth="1"/>
    <col min="13828" max="13828" width="8.140625" customWidth="1"/>
    <col min="13829" max="13829" width="9.140625" customWidth="1"/>
    <col min="13830" max="13830" width="9.85546875" customWidth="1"/>
    <col min="13831" max="13831" width="6.5703125" customWidth="1"/>
    <col min="13832" max="13832" width="10.42578125" customWidth="1"/>
    <col min="13833" max="13833" width="12" customWidth="1"/>
    <col min="13834" max="13834" width="8.140625" customWidth="1"/>
    <col min="13835" max="13835" width="7.5703125" customWidth="1"/>
    <col min="13836" max="13836" width="13.7109375" customWidth="1"/>
    <col min="13837" max="13837" width="7.85546875" customWidth="1"/>
    <col min="13838" max="13838" width="9" customWidth="1"/>
    <col min="13839" max="13839" width="7.85546875" customWidth="1"/>
    <col min="13840" max="13840" width="10" customWidth="1"/>
    <col min="13845" max="13845" width="9.85546875" bestFit="1" customWidth="1"/>
    <col min="14081" max="14081" width="3.42578125" customWidth="1"/>
    <col min="14082" max="14082" width="22.42578125" customWidth="1"/>
    <col min="14083" max="14083" width="11.5703125" customWidth="1"/>
    <col min="14084" max="14084" width="8.140625" customWidth="1"/>
    <col min="14085" max="14085" width="9.140625" customWidth="1"/>
    <col min="14086" max="14086" width="9.85546875" customWidth="1"/>
    <col min="14087" max="14087" width="6.5703125" customWidth="1"/>
    <col min="14088" max="14088" width="10.42578125" customWidth="1"/>
    <col min="14089" max="14089" width="12" customWidth="1"/>
    <col min="14090" max="14090" width="8.140625" customWidth="1"/>
    <col min="14091" max="14091" width="7.5703125" customWidth="1"/>
    <col min="14092" max="14092" width="13.7109375" customWidth="1"/>
    <col min="14093" max="14093" width="7.85546875" customWidth="1"/>
    <col min="14094" max="14094" width="9" customWidth="1"/>
    <col min="14095" max="14095" width="7.85546875" customWidth="1"/>
    <col min="14096" max="14096" width="10" customWidth="1"/>
    <col min="14101" max="14101" width="9.85546875" bestFit="1" customWidth="1"/>
    <col min="14337" max="14337" width="3.42578125" customWidth="1"/>
    <col min="14338" max="14338" width="22.42578125" customWidth="1"/>
    <col min="14339" max="14339" width="11.5703125" customWidth="1"/>
    <col min="14340" max="14340" width="8.140625" customWidth="1"/>
    <col min="14341" max="14341" width="9.140625" customWidth="1"/>
    <col min="14342" max="14342" width="9.85546875" customWidth="1"/>
    <col min="14343" max="14343" width="6.5703125" customWidth="1"/>
    <col min="14344" max="14344" width="10.42578125" customWidth="1"/>
    <col min="14345" max="14345" width="12" customWidth="1"/>
    <col min="14346" max="14346" width="8.140625" customWidth="1"/>
    <col min="14347" max="14347" width="7.5703125" customWidth="1"/>
    <col min="14348" max="14348" width="13.7109375" customWidth="1"/>
    <col min="14349" max="14349" width="7.85546875" customWidth="1"/>
    <col min="14350" max="14350" width="9" customWidth="1"/>
    <col min="14351" max="14351" width="7.85546875" customWidth="1"/>
    <col min="14352" max="14352" width="10" customWidth="1"/>
    <col min="14357" max="14357" width="9.85546875" bestFit="1" customWidth="1"/>
    <col min="14593" max="14593" width="3.42578125" customWidth="1"/>
    <col min="14594" max="14594" width="22.42578125" customWidth="1"/>
    <col min="14595" max="14595" width="11.5703125" customWidth="1"/>
    <col min="14596" max="14596" width="8.140625" customWidth="1"/>
    <col min="14597" max="14597" width="9.140625" customWidth="1"/>
    <col min="14598" max="14598" width="9.85546875" customWidth="1"/>
    <col min="14599" max="14599" width="6.5703125" customWidth="1"/>
    <col min="14600" max="14600" width="10.42578125" customWidth="1"/>
    <col min="14601" max="14601" width="12" customWidth="1"/>
    <col min="14602" max="14602" width="8.140625" customWidth="1"/>
    <col min="14603" max="14603" width="7.5703125" customWidth="1"/>
    <col min="14604" max="14604" width="13.7109375" customWidth="1"/>
    <col min="14605" max="14605" width="7.85546875" customWidth="1"/>
    <col min="14606" max="14606" width="9" customWidth="1"/>
    <col min="14607" max="14607" width="7.85546875" customWidth="1"/>
    <col min="14608" max="14608" width="10" customWidth="1"/>
    <col min="14613" max="14613" width="9.85546875" bestFit="1" customWidth="1"/>
    <col min="14849" max="14849" width="3.42578125" customWidth="1"/>
    <col min="14850" max="14850" width="22.42578125" customWidth="1"/>
    <col min="14851" max="14851" width="11.5703125" customWidth="1"/>
    <col min="14852" max="14852" width="8.140625" customWidth="1"/>
    <col min="14853" max="14853" width="9.140625" customWidth="1"/>
    <col min="14854" max="14854" width="9.85546875" customWidth="1"/>
    <col min="14855" max="14855" width="6.5703125" customWidth="1"/>
    <col min="14856" max="14856" width="10.42578125" customWidth="1"/>
    <col min="14857" max="14857" width="12" customWidth="1"/>
    <col min="14858" max="14858" width="8.140625" customWidth="1"/>
    <col min="14859" max="14859" width="7.5703125" customWidth="1"/>
    <col min="14860" max="14860" width="13.7109375" customWidth="1"/>
    <col min="14861" max="14861" width="7.85546875" customWidth="1"/>
    <col min="14862" max="14862" width="9" customWidth="1"/>
    <col min="14863" max="14863" width="7.85546875" customWidth="1"/>
    <col min="14864" max="14864" width="10" customWidth="1"/>
    <col min="14869" max="14869" width="9.85546875" bestFit="1" customWidth="1"/>
    <col min="15105" max="15105" width="3.42578125" customWidth="1"/>
    <col min="15106" max="15106" width="22.42578125" customWidth="1"/>
    <col min="15107" max="15107" width="11.5703125" customWidth="1"/>
    <col min="15108" max="15108" width="8.140625" customWidth="1"/>
    <col min="15109" max="15109" width="9.140625" customWidth="1"/>
    <col min="15110" max="15110" width="9.85546875" customWidth="1"/>
    <col min="15111" max="15111" width="6.5703125" customWidth="1"/>
    <col min="15112" max="15112" width="10.42578125" customWidth="1"/>
    <col min="15113" max="15113" width="12" customWidth="1"/>
    <col min="15114" max="15114" width="8.140625" customWidth="1"/>
    <col min="15115" max="15115" width="7.5703125" customWidth="1"/>
    <col min="15116" max="15116" width="13.7109375" customWidth="1"/>
    <col min="15117" max="15117" width="7.85546875" customWidth="1"/>
    <col min="15118" max="15118" width="9" customWidth="1"/>
    <col min="15119" max="15119" width="7.85546875" customWidth="1"/>
    <col min="15120" max="15120" width="10" customWidth="1"/>
    <col min="15125" max="15125" width="9.85546875" bestFit="1" customWidth="1"/>
    <col min="15361" max="15361" width="3.42578125" customWidth="1"/>
    <col min="15362" max="15362" width="22.42578125" customWidth="1"/>
    <col min="15363" max="15363" width="11.5703125" customWidth="1"/>
    <col min="15364" max="15364" width="8.140625" customWidth="1"/>
    <col min="15365" max="15365" width="9.140625" customWidth="1"/>
    <col min="15366" max="15366" width="9.85546875" customWidth="1"/>
    <col min="15367" max="15367" width="6.5703125" customWidth="1"/>
    <col min="15368" max="15368" width="10.42578125" customWidth="1"/>
    <col min="15369" max="15369" width="12" customWidth="1"/>
    <col min="15370" max="15370" width="8.140625" customWidth="1"/>
    <col min="15371" max="15371" width="7.5703125" customWidth="1"/>
    <col min="15372" max="15372" width="13.7109375" customWidth="1"/>
    <col min="15373" max="15373" width="7.85546875" customWidth="1"/>
    <col min="15374" max="15374" width="9" customWidth="1"/>
    <col min="15375" max="15375" width="7.85546875" customWidth="1"/>
    <col min="15376" max="15376" width="10" customWidth="1"/>
    <col min="15381" max="15381" width="9.85546875" bestFit="1" customWidth="1"/>
    <col min="15617" max="15617" width="3.42578125" customWidth="1"/>
    <col min="15618" max="15618" width="22.42578125" customWidth="1"/>
    <col min="15619" max="15619" width="11.5703125" customWidth="1"/>
    <col min="15620" max="15620" width="8.140625" customWidth="1"/>
    <col min="15621" max="15621" width="9.140625" customWidth="1"/>
    <col min="15622" max="15622" width="9.85546875" customWidth="1"/>
    <col min="15623" max="15623" width="6.5703125" customWidth="1"/>
    <col min="15624" max="15624" width="10.42578125" customWidth="1"/>
    <col min="15625" max="15625" width="12" customWidth="1"/>
    <col min="15626" max="15626" width="8.140625" customWidth="1"/>
    <col min="15627" max="15627" width="7.5703125" customWidth="1"/>
    <col min="15628" max="15628" width="13.7109375" customWidth="1"/>
    <col min="15629" max="15629" width="7.85546875" customWidth="1"/>
    <col min="15630" max="15630" width="9" customWidth="1"/>
    <col min="15631" max="15631" width="7.85546875" customWidth="1"/>
    <col min="15632" max="15632" width="10" customWidth="1"/>
    <col min="15637" max="15637" width="9.85546875" bestFit="1" customWidth="1"/>
    <col min="15873" max="15873" width="3.42578125" customWidth="1"/>
    <col min="15874" max="15874" width="22.42578125" customWidth="1"/>
    <col min="15875" max="15875" width="11.5703125" customWidth="1"/>
    <col min="15876" max="15876" width="8.140625" customWidth="1"/>
    <col min="15877" max="15877" width="9.140625" customWidth="1"/>
    <col min="15878" max="15878" width="9.85546875" customWidth="1"/>
    <col min="15879" max="15879" width="6.5703125" customWidth="1"/>
    <col min="15880" max="15880" width="10.42578125" customWidth="1"/>
    <col min="15881" max="15881" width="12" customWidth="1"/>
    <col min="15882" max="15882" width="8.140625" customWidth="1"/>
    <col min="15883" max="15883" width="7.5703125" customWidth="1"/>
    <col min="15884" max="15884" width="13.7109375" customWidth="1"/>
    <col min="15885" max="15885" width="7.85546875" customWidth="1"/>
    <col min="15886" max="15886" width="9" customWidth="1"/>
    <col min="15887" max="15887" width="7.85546875" customWidth="1"/>
    <col min="15888" max="15888" width="10" customWidth="1"/>
    <col min="15893" max="15893" width="9.85546875" bestFit="1" customWidth="1"/>
    <col min="16129" max="16129" width="3.42578125" customWidth="1"/>
    <col min="16130" max="16130" width="22.42578125" customWidth="1"/>
    <col min="16131" max="16131" width="11.5703125" customWidth="1"/>
    <col min="16132" max="16132" width="8.140625" customWidth="1"/>
    <col min="16133" max="16133" width="9.140625" customWidth="1"/>
    <col min="16134" max="16134" width="9.85546875" customWidth="1"/>
    <col min="16135" max="16135" width="6.5703125" customWidth="1"/>
    <col min="16136" max="16136" width="10.42578125" customWidth="1"/>
    <col min="16137" max="16137" width="12" customWidth="1"/>
    <col min="16138" max="16138" width="8.140625" customWidth="1"/>
    <col min="16139" max="16139" width="7.5703125" customWidth="1"/>
    <col min="16140" max="16140" width="13.7109375" customWidth="1"/>
    <col min="16141" max="16141" width="7.85546875" customWidth="1"/>
    <col min="16142" max="16142" width="9" customWidth="1"/>
    <col min="16143" max="16143" width="7.85546875" customWidth="1"/>
    <col min="16144" max="16144" width="10" customWidth="1"/>
    <col min="16149" max="16149" width="9.85546875" bestFit="1" customWidth="1"/>
  </cols>
  <sheetData>
    <row r="1" spans="1:21" ht="33.75" x14ac:dyDescent="0.5">
      <c r="A1" s="361" t="s">
        <v>262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</row>
    <row r="2" spans="1:21" x14ac:dyDescent="0.25">
      <c r="A2" s="341" t="s">
        <v>160</v>
      </c>
      <c r="B2" s="341" t="s">
        <v>263</v>
      </c>
      <c r="C2" s="341" t="s">
        <v>264</v>
      </c>
      <c r="D2" s="362" t="s">
        <v>265</v>
      </c>
      <c r="E2" s="363"/>
      <c r="F2" s="341" t="s">
        <v>266</v>
      </c>
      <c r="G2" s="341" t="s">
        <v>267</v>
      </c>
      <c r="H2" s="341" t="s">
        <v>268</v>
      </c>
      <c r="I2" s="341" t="s">
        <v>269</v>
      </c>
      <c r="J2" s="362" t="s">
        <v>270</v>
      </c>
      <c r="K2" s="363"/>
      <c r="L2" s="341" t="s">
        <v>271</v>
      </c>
      <c r="M2" s="362" t="s">
        <v>272</v>
      </c>
      <c r="N2" s="363"/>
      <c r="O2" s="362" t="s">
        <v>273</v>
      </c>
      <c r="P2" s="363"/>
    </row>
    <row r="3" spans="1:21" ht="38.25" x14ac:dyDescent="0.25">
      <c r="A3" s="342"/>
      <c r="B3" s="342"/>
      <c r="C3" s="342"/>
      <c r="D3" s="84" t="s">
        <v>274</v>
      </c>
      <c r="E3" s="84" t="s">
        <v>275</v>
      </c>
      <c r="F3" s="342"/>
      <c r="G3" s="364"/>
      <c r="H3" s="364"/>
      <c r="I3" s="364"/>
      <c r="J3" s="84" t="s">
        <v>276</v>
      </c>
      <c r="K3" s="84" t="s">
        <v>277</v>
      </c>
      <c r="L3" s="364"/>
      <c r="M3" s="84" t="s">
        <v>278</v>
      </c>
      <c r="N3" s="84" t="s">
        <v>279</v>
      </c>
      <c r="O3" s="84" t="s">
        <v>280</v>
      </c>
      <c r="P3" s="84" t="s">
        <v>281</v>
      </c>
      <c r="R3" s="85" t="s">
        <v>282</v>
      </c>
      <c r="S3">
        <f>1.95*1.18</f>
        <v>2.3009999999999997</v>
      </c>
    </row>
    <row r="4" spans="1:21" x14ac:dyDescent="0.25">
      <c r="A4" s="86">
        <v>1</v>
      </c>
      <c r="B4" s="87" t="s">
        <v>283</v>
      </c>
      <c r="C4" s="88"/>
      <c r="D4" s="88"/>
      <c r="E4" s="88"/>
      <c r="F4" s="89"/>
      <c r="G4" s="88"/>
      <c r="H4" s="89"/>
      <c r="I4" s="88"/>
      <c r="J4" s="88"/>
      <c r="K4" s="88"/>
      <c r="L4" s="90"/>
      <c r="M4" s="88"/>
      <c r="N4" s="88"/>
      <c r="O4" s="88"/>
      <c r="P4" s="88"/>
    </row>
    <row r="5" spans="1:21" x14ac:dyDescent="0.25">
      <c r="A5" s="80"/>
      <c r="B5" s="91" t="s">
        <v>284</v>
      </c>
      <c r="C5" s="88">
        <v>55</v>
      </c>
      <c r="D5" s="88">
        <v>1</v>
      </c>
      <c r="E5" s="88"/>
      <c r="F5" s="89">
        <f>D5*C5</f>
        <v>55</v>
      </c>
      <c r="G5" s="88">
        <v>0.8</v>
      </c>
      <c r="H5" s="89">
        <f>G5*F5</f>
        <v>44</v>
      </c>
      <c r="I5" s="88">
        <v>60</v>
      </c>
      <c r="J5" s="92">
        <f>R8/I5</f>
        <v>0.97712328767123291</v>
      </c>
      <c r="K5" s="88">
        <v>365</v>
      </c>
      <c r="L5" s="93">
        <f>H5*J5*K5</f>
        <v>15692.6</v>
      </c>
      <c r="M5" s="94">
        <f>L5</f>
        <v>15692.6</v>
      </c>
      <c r="N5" s="94"/>
      <c r="O5" s="94"/>
      <c r="P5" s="94">
        <f>M5</f>
        <v>15692.6</v>
      </c>
      <c r="R5" s="85" t="s">
        <v>285</v>
      </c>
      <c r="U5">
        <f>L13*S3/1000</f>
        <v>89.325125790789471</v>
      </c>
    </row>
    <row r="6" spans="1:21" x14ac:dyDescent="0.25">
      <c r="A6" s="80"/>
      <c r="B6" s="91" t="s">
        <v>284</v>
      </c>
      <c r="C6" s="88">
        <v>55</v>
      </c>
      <c r="D6" s="88"/>
      <c r="E6" s="88">
        <v>1</v>
      </c>
      <c r="F6" s="89">
        <f t="shared" ref="F6:F22" si="0">D6*C6</f>
        <v>0</v>
      </c>
      <c r="G6" s="88">
        <v>0.8</v>
      </c>
      <c r="H6" s="89">
        <f t="shared" ref="H6:H22" si="1">G6*F6</f>
        <v>0</v>
      </c>
      <c r="I6" s="88">
        <v>60</v>
      </c>
      <c r="J6" s="88"/>
      <c r="K6" s="88"/>
      <c r="L6" s="93">
        <f t="shared" ref="L6:L11" si="2">H6*J6*K6</f>
        <v>0</v>
      </c>
      <c r="M6" s="94"/>
      <c r="N6" s="94"/>
      <c r="O6" s="94"/>
      <c r="P6" s="94"/>
      <c r="T6" s="85" t="s">
        <v>286</v>
      </c>
      <c r="U6">
        <f>S3*P22/1000</f>
        <v>44.565767999999998</v>
      </c>
    </row>
    <row r="7" spans="1:21" x14ac:dyDescent="0.25">
      <c r="A7" s="80"/>
      <c r="B7" s="91" t="s">
        <v>287</v>
      </c>
      <c r="C7" s="88">
        <v>10</v>
      </c>
      <c r="D7" s="88">
        <v>1</v>
      </c>
      <c r="E7" s="88"/>
      <c r="F7" s="89">
        <f t="shared" si="0"/>
        <v>10</v>
      </c>
      <c r="G7" s="88">
        <v>0.87</v>
      </c>
      <c r="H7" s="89">
        <f t="shared" si="1"/>
        <v>8.6999999999999993</v>
      </c>
      <c r="I7" s="88">
        <v>6</v>
      </c>
      <c r="J7" s="88">
        <v>0.5</v>
      </c>
      <c r="K7" s="88">
        <v>365</v>
      </c>
      <c r="L7" s="93">
        <f t="shared" si="2"/>
        <v>1587.7499999999998</v>
      </c>
      <c r="M7" s="94">
        <f>L7</f>
        <v>1587.7499999999998</v>
      </c>
      <c r="N7" s="94"/>
      <c r="O7" s="94"/>
      <c r="P7" s="94">
        <v>1587.75</v>
      </c>
    </row>
    <row r="8" spans="1:21" ht="60" x14ac:dyDescent="0.25">
      <c r="A8" s="80"/>
      <c r="B8" s="91" t="s">
        <v>288</v>
      </c>
      <c r="C8" s="88"/>
      <c r="D8" s="88"/>
      <c r="E8" s="88"/>
      <c r="F8" s="89"/>
      <c r="G8" s="88"/>
      <c r="H8" s="89"/>
      <c r="I8" s="88"/>
      <c r="J8" s="88"/>
      <c r="K8" s="88"/>
      <c r="L8" s="95">
        <f>L5+L7</f>
        <v>17280.349999999999</v>
      </c>
      <c r="M8" s="96"/>
      <c r="N8" s="94"/>
      <c r="O8" s="94"/>
      <c r="P8" s="94">
        <f>P5+P7</f>
        <v>17280.349999999999</v>
      </c>
      <c r="Q8" s="55" t="s">
        <v>289</v>
      </c>
      <c r="R8">
        <f>21399/365</f>
        <v>58.627397260273973</v>
      </c>
    </row>
    <row r="9" spans="1:21" x14ac:dyDescent="0.25">
      <c r="A9" s="86">
        <v>2</v>
      </c>
      <c r="B9" s="87" t="s">
        <v>290</v>
      </c>
      <c r="C9" s="88"/>
      <c r="D9" s="88"/>
      <c r="E9" s="88"/>
      <c r="F9" s="89"/>
      <c r="G9" s="88"/>
      <c r="H9" s="89"/>
      <c r="I9" s="88"/>
      <c r="J9" s="88"/>
      <c r="K9" s="88"/>
      <c r="L9" s="93"/>
      <c r="M9" s="94"/>
      <c r="N9" s="94"/>
      <c r="O9" s="94"/>
      <c r="P9" s="94"/>
    </row>
    <row r="10" spans="1:21" x14ac:dyDescent="0.25">
      <c r="A10" s="80"/>
      <c r="B10" s="91" t="s">
        <v>291</v>
      </c>
      <c r="C10" s="88">
        <v>45</v>
      </c>
      <c r="D10" s="88">
        <v>1</v>
      </c>
      <c r="E10" s="88"/>
      <c r="F10" s="89">
        <f t="shared" si="0"/>
        <v>45</v>
      </c>
      <c r="G10" s="88">
        <v>0.85</v>
      </c>
      <c r="H10" s="89">
        <f t="shared" si="1"/>
        <v>38.25</v>
      </c>
      <c r="I10" s="88">
        <v>38</v>
      </c>
      <c r="J10" s="92">
        <f>R8/I10</f>
        <v>1.5428262436914204</v>
      </c>
      <c r="K10" s="88">
        <v>365</v>
      </c>
      <c r="L10" s="93">
        <f t="shared" si="2"/>
        <v>21539.782894736843</v>
      </c>
      <c r="M10" s="94"/>
      <c r="N10" s="94">
        <f>L10</f>
        <v>21539.782894736843</v>
      </c>
      <c r="O10" s="94"/>
      <c r="P10" s="94"/>
    </row>
    <row r="11" spans="1:21" x14ac:dyDescent="0.25">
      <c r="A11" s="80"/>
      <c r="B11" s="91" t="s">
        <v>292</v>
      </c>
      <c r="C11" s="88">
        <v>30</v>
      </c>
      <c r="D11" s="88"/>
      <c r="E11" s="88">
        <v>1</v>
      </c>
      <c r="F11" s="89">
        <f t="shared" si="0"/>
        <v>0</v>
      </c>
      <c r="G11" s="88">
        <v>0.85</v>
      </c>
      <c r="H11" s="89">
        <f t="shared" si="1"/>
        <v>0</v>
      </c>
      <c r="I11" s="88"/>
      <c r="J11" s="88"/>
      <c r="K11" s="88"/>
      <c r="L11" s="93">
        <f t="shared" si="2"/>
        <v>0</v>
      </c>
      <c r="M11" s="94"/>
      <c r="N11" s="94"/>
      <c r="O11" s="94"/>
      <c r="P11" s="94"/>
    </row>
    <row r="12" spans="1:21" x14ac:dyDescent="0.25">
      <c r="A12" s="80"/>
      <c r="B12" s="91" t="s">
        <v>288</v>
      </c>
      <c r="C12" s="88"/>
      <c r="D12" s="88"/>
      <c r="E12" s="88"/>
      <c r="F12" s="89">
        <f t="shared" si="0"/>
        <v>0</v>
      </c>
      <c r="G12" s="88"/>
      <c r="H12" s="89">
        <f t="shared" si="1"/>
        <v>0</v>
      </c>
      <c r="I12" s="88"/>
      <c r="J12" s="88"/>
      <c r="K12" s="88"/>
      <c r="L12" s="95">
        <f>L10+L11</f>
        <v>21539.782894736843</v>
      </c>
      <c r="M12" s="96"/>
      <c r="N12" s="96">
        <f>N10+N11</f>
        <v>21539.782894736843</v>
      </c>
      <c r="O12" s="94"/>
      <c r="P12" s="94">
        <f>N12</f>
        <v>21539.782894736843</v>
      </c>
    </row>
    <row r="13" spans="1:21" x14ac:dyDescent="0.25">
      <c r="A13" s="97"/>
      <c r="B13" s="98" t="s">
        <v>293</v>
      </c>
      <c r="C13" s="97"/>
      <c r="D13" s="97"/>
      <c r="E13" s="97"/>
      <c r="F13" s="97">
        <f t="shared" si="0"/>
        <v>0</v>
      </c>
      <c r="G13" s="97"/>
      <c r="H13" s="97">
        <f t="shared" si="1"/>
        <v>0</v>
      </c>
      <c r="I13" s="97"/>
      <c r="J13" s="97"/>
      <c r="K13" s="97"/>
      <c r="L13" s="99">
        <f>L8+L12</f>
        <v>38820.132894736846</v>
      </c>
      <c r="M13" s="99">
        <f>M5+M7</f>
        <v>17280.349999999999</v>
      </c>
      <c r="N13" s="99">
        <f>N8+N12</f>
        <v>21539.782894736843</v>
      </c>
      <c r="O13" s="100"/>
      <c r="P13" s="99">
        <f>P8+P12</f>
        <v>38820.132894736846</v>
      </c>
      <c r="Q13" s="101"/>
    </row>
    <row r="14" spans="1:21" x14ac:dyDescent="0.25">
      <c r="A14" s="86">
        <v>3</v>
      </c>
      <c r="B14" s="87" t="s">
        <v>294</v>
      </c>
      <c r="C14" s="88"/>
      <c r="D14" s="88"/>
      <c r="E14" s="88"/>
      <c r="F14" s="89">
        <f t="shared" si="0"/>
        <v>0</v>
      </c>
      <c r="G14" s="88"/>
      <c r="H14" s="89">
        <f t="shared" si="1"/>
        <v>0</v>
      </c>
      <c r="I14" s="88"/>
      <c r="J14" s="88"/>
      <c r="K14" s="88"/>
      <c r="L14" s="90"/>
      <c r="M14" s="88"/>
      <c r="N14" s="88"/>
      <c r="O14" s="88"/>
      <c r="P14" s="88"/>
    </row>
    <row r="15" spans="1:21" x14ac:dyDescent="0.25">
      <c r="A15" s="80"/>
      <c r="B15" s="87" t="s">
        <v>283</v>
      </c>
      <c r="C15" s="88">
        <v>0.8</v>
      </c>
      <c r="D15" s="88">
        <v>10</v>
      </c>
      <c r="E15" s="88">
        <v>365</v>
      </c>
      <c r="F15" s="89">
        <f t="shared" si="0"/>
        <v>8</v>
      </c>
      <c r="G15" s="88"/>
      <c r="H15" s="89">
        <f t="shared" si="1"/>
        <v>0</v>
      </c>
      <c r="I15" s="88"/>
      <c r="J15" s="88"/>
      <c r="K15" s="88"/>
      <c r="L15" s="90">
        <f>F15*E15</f>
        <v>2920</v>
      </c>
      <c r="M15" s="88"/>
      <c r="N15" s="88"/>
      <c r="O15" s="88"/>
      <c r="P15" s="88"/>
    </row>
    <row r="16" spans="1:21" x14ac:dyDescent="0.25">
      <c r="A16" s="80"/>
      <c r="B16" s="87" t="s">
        <v>290</v>
      </c>
      <c r="C16" s="88">
        <v>1</v>
      </c>
      <c r="D16" s="88">
        <v>10</v>
      </c>
      <c r="E16" s="88">
        <v>365</v>
      </c>
      <c r="F16" s="89">
        <f t="shared" si="0"/>
        <v>10</v>
      </c>
      <c r="G16" s="88"/>
      <c r="H16" s="89">
        <f t="shared" si="1"/>
        <v>0</v>
      </c>
      <c r="I16" s="88"/>
      <c r="J16" s="88"/>
      <c r="K16" s="88"/>
      <c r="L16" s="90">
        <f>F16*E16</f>
        <v>3650</v>
      </c>
      <c r="M16" s="88"/>
      <c r="N16" s="88"/>
      <c r="O16" s="88"/>
      <c r="P16" s="88"/>
    </row>
    <row r="17" spans="1:16" x14ac:dyDescent="0.25">
      <c r="A17" s="80"/>
      <c r="B17" s="87" t="s">
        <v>288</v>
      </c>
      <c r="C17" s="88"/>
      <c r="D17" s="88"/>
      <c r="E17" s="88"/>
      <c r="F17" s="89">
        <f t="shared" si="0"/>
        <v>0</v>
      </c>
      <c r="G17" s="88"/>
      <c r="H17" s="89">
        <f t="shared" si="1"/>
        <v>0</v>
      </c>
      <c r="I17" s="88"/>
      <c r="J17" s="88"/>
      <c r="K17" s="88"/>
      <c r="L17" s="102">
        <f>L15+L16</f>
        <v>6570</v>
      </c>
      <c r="M17" s="88"/>
      <c r="N17" s="88"/>
      <c r="O17" s="88"/>
      <c r="P17" s="88">
        <f>L17</f>
        <v>6570</v>
      </c>
    </row>
    <row r="18" spans="1:16" x14ac:dyDescent="0.25">
      <c r="A18" s="86">
        <v>4</v>
      </c>
      <c r="B18" s="87" t="s">
        <v>295</v>
      </c>
      <c r="C18" s="88"/>
      <c r="D18" s="88"/>
      <c r="E18" s="88"/>
      <c r="F18" s="89">
        <f t="shared" si="0"/>
        <v>0</v>
      </c>
      <c r="G18" s="88"/>
      <c r="H18" s="89">
        <f t="shared" si="1"/>
        <v>0</v>
      </c>
      <c r="I18" s="88"/>
      <c r="J18" s="88"/>
      <c r="K18" s="88"/>
      <c r="L18" s="102"/>
      <c r="M18" s="88"/>
      <c r="N18" s="88"/>
      <c r="O18" s="88"/>
      <c r="P18" s="88"/>
    </row>
    <row r="19" spans="1:16" x14ac:dyDescent="0.25">
      <c r="A19" s="80"/>
      <c r="B19" s="87" t="s">
        <v>283</v>
      </c>
      <c r="C19" s="88">
        <v>1</v>
      </c>
      <c r="D19" s="88">
        <v>12</v>
      </c>
      <c r="E19" s="88">
        <v>237</v>
      </c>
      <c r="F19" s="89">
        <f t="shared" si="0"/>
        <v>12</v>
      </c>
      <c r="G19" s="88"/>
      <c r="H19" s="89">
        <f t="shared" si="1"/>
        <v>0</v>
      </c>
      <c r="I19" s="88"/>
      <c r="J19" s="88"/>
      <c r="K19" s="88"/>
      <c r="L19" s="102">
        <f>E19*F19</f>
        <v>2844</v>
      </c>
      <c r="M19" s="88"/>
      <c r="N19" s="88"/>
      <c r="O19" s="88"/>
      <c r="P19" s="88"/>
    </row>
    <row r="20" spans="1:16" x14ac:dyDescent="0.25">
      <c r="A20" s="80"/>
      <c r="B20" s="87" t="s">
        <v>290</v>
      </c>
      <c r="C20" s="88">
        <v>3.5</v>
      </c>
      <c r="D20" s="88">
        <v>12</v>
      </c>
      <c r="E20" s="88">
        <v>237</v>
      </c>
      <c r="F20" s="89">
        <f t="shared" si="0"/>
        <v>42</v>
      </c>
      <c r="G20" s="88"/>
      <c r="H20" s="89">
        <f t="shared" si="1"/>
        <v>0</v>
      </c>
      <c r="I20" s="88"/>
      <c r="J20" s="88"/>
      <c r="K20" s="88"/>
      <c r="L20" s="102">
        <f>E20*F20</f>
        <v>9954</v>
      </c>
      <c r="M20" s="88"/>
      <c r="N20" s="88"/>
      <c r="O20" s="88"/>
      <c r="P20" s="88"/>
    </row>
    <row r="21" spans="1:16" x14ac:dyDescent="0.25">
      <c r="A21" s="80"/>
      <c r="B21" s="87" t="s">
        <v>288</v>
      </c>
      <c r="C21" s="88"/>
      <c r="D21" s="88"/>
      <c r="E21" s="88"/>
      <c r="F21" s="89">
        <f t="shared" si="0"/>
        <v>0</v>
      </c>
      <c r="G21" s="88"/>
      <c r="H21" s="89">
        <f t="shared" si="1"/>
        <v>0</v>
      </c>
      <c r="I21" s="88"/>
      <c r="J21" s="88"/>
      <c r="K21" s="88"/>
      <c r="L21" s="102">
        <f>L19+L20</f>
        <v>12798</v>
      </c>
      <c r="M21" s="88"/>
      <c r="N21" s="88"/>
      <c r="O21" s="88"/>
      <c r="P21" s="88"/>
    </row>
    <row r="22" spans="1:16" x14ac:dyDescent="0.25">
      <c r="A22" s="97"/>
      <c r="B22" s="103" t="s">
        <v>293</v>
      </c>
      <c r="C22" s="97"/>
      <c r="D22" s="97"/>
      <c r="E22" s="97"/>
      <c r="F22" s="97">
        <f t="shared" si="0"/>
        <v>0</v>
      </c>
      <c r="G22" s="97"/>
      <c r="H22" s="97">
        <f t="shared" si="1"/>
        <v>0</v>
      </c>
      <c r="I22" s="97"/>
      <c r="J22" s="97"/>
      <c r="K22" s="97"/>
      <c r="L22" s="103">
        <f>L17+L21</f>
        <v>19368</v>
      </c>
      <c r="M22" s="97"/>
      <c r="N22" s="97"/>
      <c r="O22" s="97"/>
      <c r="P22" s="97">
        <f>L22</f>
        <v>19368</v>
      </c>
    </row>
    <row r="23" spans="1:16" x14ac:dyDescent="0.25">
      <c r="B23" s="356" t="s">
        <v>296</v>
      </c>
      <c r="C23" s="357"/>
      <c r="D23" s="357"/>
      <c r="E23" s="357"/>
      <c r="F23" s="357"/>
      <c r="G23" s="357"/>
      <c r="H23" s="357"/>
      <c r="I23" s="357"/>
      <c r="J23" s="358"/>
    </row>
    <row r="24" spans="1:16" x14ac:dyDescent="0.25">
      <c r="B24" s="356"/>
      <c r="C24" s="357"/>
      <c r="D24" s="357"/>
      <c r="E24" s="357"/>
      <c r="F24" s="357"/>
      <c r="G24" s="357"/>
      <c r="H24" s="357"/>
      <c r="I24" s="357"/>
      <c r="J24" s="358"/>
    </row>
    <row r="25" spans="1:16" x14ac:dyDescent="0.25">
      <c r="B25" s="47"/>
      <c r="C25" s="359" t="s">
        <v>297</v>
      </c>
      <c r="D25" s="359"/>
      <c r="E25" s="359" t="s">
        <v>298</v>
      </c>
      <c r="F25" s="359"/>
      <c r="G25" s="359" t="s">
        <v>299</v>
      </c>
      <c r="H25" s="359"/>
      <c r="I25" s="29"/>
      <c r="J25" s="104"/>
    </row>
    <row r="26" spans="1:16" x14ac:dyDescent="0.25">
      <c r="B26" s="47"/>
      <c r="C26" s="354">
        <v>246</v>
      </c>
      <c r="D26" s="354"/>
      <c r="E26" s="354">
        <v>306</v>
      </c>
      <c r="F26" s="354"/>
      <c r="G26" s="354">
        <v>70</v>
      </c>
      <c r="H26" s="354"/>
      <c r="I26" s="29"/>
      <c r="J26" s="104"/>
    </row>
    <row r="27" spans="1:16" x14ac:dyDescent="0.25">
      <c r="B27" s="47"/>
      <c r="C27" s="355">
        <v>11.69</v>
      </c>
      <c r="D27" s="355"/>
      <c r="E27" s="355">
        <v>0</v>
      </c>
      <c r="F27" s="355"/>
      <c r="G27" s="355">
        <v>0</v>
      </c>
      <c r="H27" s="355"/>
      <c r="I27" s="29"/>
      <c r="J27" s="104"/>
    </row>
    <row r="28" spans="1:16" x14ac:dyDescent="0.25">
      <c r="B28" s="47"/>
      <c r="C28" s="360">
        <v>3.06</v>
      </c>
      <c r="D28" s="360"/>
      <c r="E28" s="360">
        <v>0</v>
      </c>
      <c r="F28" s="360"/>
      <c r="G28" s="360">
        <v>0</v>
      </c>
      <c r="H28" s="360"/>
      <c r="I28" s="29"/>
      <c r="J28" s="104"/>
    </row>
    <row r="29" spans="1:16" ht="15.75" thickBot="1" x14ac:dyDescent="0.3">
      <c r="B29" s="49"/>
      <c r="C29" s="105"/>
      <c r="D29" s="105"/>
      <c r="E29" s="105"/>
      <c r="F29" s="105"/>
      <c r="G29" s="353">
        <f>C28+E28+G28</f>
        <v>3.06</v>
      </c>
      <c r="H29" s="353"/>
      <c r="I29" s="50"/>
      <c r="J29" s="106"/>
    </row>
  </sheetData>
  <mergeCells count="27"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M2:N2"/>
    <mergeCell ref="O2:P2"/>
    <mergeCell ref="B23:J24"/>
    <mergeCell ref="C25:D25"/>
    <mergeCell ref="E25:F25"/>
    <mergeCell ref="G25:H25"/>
    <mergeCell ref="C28:D28"/>
    <mergeCell ref="E28:F28"/>
    <mergeCell ref="G28:H28"/>
    <mergeCell ref="G29:H29"/>
    <mergeCell ref="C26:D26"/>
    <mergeCell ref="E26:F26"/>
    <mergeCell ref="G26:H26"/>
    <mergeCell ref="C27:D27"/>
    <mergeCell ref="E27:F27"/>
    <mergeCell ref="G27:H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M16" sqref="M16"/>
    </sheetView>
  </sheetViews>
  <sheetFormatPr defaultRowHeight="15" x14ac:dyDescent="0.2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 x14ac:dyDescent="0.25">
      <c r="A1" s="140" t="s">
        <v>311</v>
      </c>
    </row>
    <row r="2" spans="1:14" ht="18.75" x14ac:dyDescent="0.25">
      <c r="A2" s="140"/>
    </row>
    <row r="3" spans="1:14" ht="15.75" x14ac:dyDescent="0.25">
      <c r="A3" s="141"/>
    </row>
    <row r="4" spans="1:14" ht="18.75" x14ac:dyDescent="0.25">
      <c r="A4" s="142" t="s">
        <v>333</v>
      </c>
    </row>
    <row r="5" spans="1:14" ht="19.5" thickBot="1" x14ac:dyDescent="0.3">
      <c r="A5" s="142"/>
    </row>
    <row r="6" spans="1:14" x14ac:dyDescent="0.25">
      <c r="A6" s="367" t="s">
        <v>160</v>
      </c>
      <c r="B6" s="367" t="s">
        <v>312</v>
      </c>
      <c r="C6" s="372" t="s">
        <v>313</v>
      </c>
      <c r="D6" s="372" t="s">
        <v>314</v>
      </c>
      <c r="E6" s="367" t="s">
        <v>315</v>
      </c>
      <c r="F6" s="367" t="s">
        <v>316</v>
      </c>
      <c r="G6" s="367" t="s">
        <v>317</v>
      </c>
      <c r="H6" s="367" t="s">
        <v>318</v>
      </c>
      <c r="I6" s="367" t="s">
        <v>319</v>
      </c>
      <c r="J6" s="367" t="s">
        <v>320</v>
      </c>
      <c r="K6" s="367" t="s">
        <v>321</v>
      </c>
      <c r="L6" s="367" t="s">
        <v>322</v>
      </c>
      <c r="M6" s="367" t="s">
        <v>323</v>
      </c>
      <c r="N6" s="367" t="s">
        <v>324</v>
      </c>
    </row>
    <row r="7" spans="1:14" ht="15.75" thickBot="1" x14ac:dyDescent="0.3">
      <c r="A7" s="368"/>
      <c r="B7" s="368"/>
      <c r="C7" s="373"/>
      <c r="D7" s="373"/>
      <c r="E7" s="368"/>
      <c r="F7" s="368"/>
      <c r="G7" s="368"/>
      <c r="H7" s="368"/>
      <c r="I7" s="368"/>
      <c r="J7" s="368"/>
      <c r="K7" s="368"/>
      <c r="L7" s="368"/>
      <c r="M7" s="368"/>
      <c r="N7" s="368"/>
    </row>
    <row r="8" spans="1:14" ht="16.5" thickBot="1" x14ac:dyDescent="0.3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</row>
    <row r="9" spans="1:14" ht="16.5" thickBot="1" x14ac:dyDescent="0.3">
      <c r="A9" s="369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1"/>
    </row>
    <row r="10" spans="1:14" ht="16.5" thickBot="1" x14ac:dyDescent="0.3">
      <c r="A10" s="143">
        <v>1</v>
      </c>
      <c r="B10" s="144" t="s">
        <v>325</v>
      </c>
      <c r="C10" s="144">
        <v>1</v>
      </c>
      <c r="D10" s="144">
        <v>18</v>
      </c>
      <c r="E10" s="144">
        <v>4.5</v>
      </c>
      <c r="F10" s="144">
        <v>22649.13</v>
      </c>
      <c r="G10" s="144">
        <v>1.4</v>
      </c>
      <c r="H10" s="144">
        <f>F10*12.5%</f>
        <v>2831.1412500000001</v>
      </c>
      <c r="I10" s="365">
        <f>(F10+H10)*60%</f>
        <v>15288.16275</v>
      </c>
      <c r="J10" s="366"/>
      <c r="K10" s="144">
        <f t="shared" ref="K10:K16" si="0">F10+H10+I10</f>
        <v>40768.434000000001</v>
      </c>
      <c r="L10" s="144">
        <f t="shared" ref="L10:L16" si="1">K10*C10</f>
        <v>40768.434000000001</v>
      </c>
      <c r="M10" s="144">
        <f>L10*14</f>
        <v>570758.076</v>
      </c>
      <c r="N10" s="144"/>
    </row>
    <row r="11" spans="1:14" ht="16.5" thickBot="1" x14ac:dyDescent="0.3">
      <c r="A11" s="143">
        <v>2</v>
      </c>
      <c r="B11" s="144" t="s">
        <v>326</v>
      </c>
      <c r="C11" s="144">
        <v>0.5</v>
      </c>
      <c r="D11" s="144">
        <v>16</v>
      </c>
      <c r="E11" s="144">
        <v>3.9</v>
      </c>
      <c r="F11" s="144">
        <v>19629.25</v>
      </c>
      <c r="G11" s="144">
        <v>1.4</v>
      </c>
      <c r="H11" s="144">
        <f t="shared" ref="H11:H16" si="2">F11*12.5%</f>
        <v>2453.65625</v>
      </c>
      <c r="I11" s="365">
        <f t="shared" ref="I11:I16" si="3">(F11+H11)*60%</f>
        <v>13249.74375</v>
      </c>
      <c r="J11" s="366"/>
      <c r="K11" s="144">
        <f t="shared" si="0"/>
        <v>35332.65</v>
      </c>
      <c r="L11" s="144">
        <f t="shared" si="1"/>
        <v>17666.325000000001</v>
      </c>
      <c r="M11" s="144">
        <f t="shared" ref="M11:M16" si="4">L11*14</f>
        <v>247328.55000000002</v>
      </c>
      <c r="N11" s="144"/>
    </row>
    <row r="12" spans="1:14" ht="16.5" thickBot="1" x14ac:dyDescent="0.3">
      <c r="A12" s="143">
        <v>3</v>
      </c>
      <c r="B12" s="144" t="s">
        <v>327</v>
      </c>
      <c r="C12" s="144">
        <v>0.5</v>
      </c>
      <c r="D12" s="144">
        <v>16</v>
      </c>
      <c r="E12" s="144">
        <v>3.9</v>
      </c>
      <c r="F12" s="144">
        <v>19629.25</v>
      </c>
      <c r="G12" s="144">
        <v>1.4</v>
      </c>
      <c r="H12" s="144">
        <f t="shared" si="2"/>
        <v>2453.65625</v>
      </c>
      <c r="I12" s="365">
        <f t="shared" si="3"/>
        <v>13249.74375</v>
      </c>
      <c r="J12" s="366"/>
      <c r="K12" s="144">
        <f t="shared" si="0"/>
        <v>35332.65</v>
      </c>
      <c r="L12" s="144">
        <f t="shared" si="1"/>
        <v>17666.325000000001</v>
      </c>
      <c r="M12" s="144">
        <f t="shared" si="4"/>
        <v>247328.55000000002</v>
      </c>
      <c r="N12" s="144"/>
    </row>
    <row r="13" spans="1:14" ht="16.5" thickBot="1" x14ac:dyDescent="0.3">
      <c r="A13" s="143">
        <v>4</v>
      </c>
      <c r="B13" s="144" t="s">
        <v>328</v>
      </c>
      <c r="C13" s="144">
        <v>0.4</v>
      </c>
      <c r="D13" s="144">
        <v>11</v>
      </c>
      <c r="E13" s="144">
        <v>2.68</v>
      </c>
      <c r="F13" s="144">
        <v>13488.81</v>
      </c>
      <c r="G13" s="144">
        <v>1.4</v>
      </c>
      <c r="H13" s="144">
        <f t="shared" si="2"/>
        <v>1686.1012499999999</v>
      </c>
      <c r="I13" s="365">
        <f t="shared" si="3"/>
        <v>9104.9467499999992</v>
      </c>
      <c r="J13" s="366"/>
      <c r="K13" s="144">
        <f t="shared" si="0"/>
        <v>24279.858</v>
      </c>
      <c r="L13" s="144">
        <f t="shared" si="1"/>
        <v>9711.9431999999997</v>
      </c>
      <c r="M13" s="144">
        <f t="shared" si="4"/>
        <v>135967.20480000001</v>
      </c>
      <c r="N13" s="144"/>
    </row>
    <row r="14" spans="1:14" ht="16.5" thickBot="1" x14ac:dyDescent="0.3">
      <c r="A14" s="143">
        <v>5</v>
      </c>
      <c r="B14" s="144" t="s">
        <v>332</v>
      </c>
      <c r="C14" s="144">
        <v>0.2</v>
      </c>
      <c r="D14" s="144">
        <v>9</v>
      </c>
      <c r="E14" s="144"/>
      <c r="F14" s="144">
        <v>11072.91</v>
      </c>
      <c r="G14" s="144"/>
      <c r="H14" s="144">
        <f t="shared" si="2"/>
        <v>1384.11375</v>
      </c>
      <c r="I14" s="365">
        <f t="shared" si="3"/>
        <v>7474.21425</v>
      </c>
      <c r="J14" s="366"/>
      <c r="K14" s="144">
        <f t="shared" si="0"/>
        <v>19931.238000000001</v>
      </c>
      <c r="L14" s="144">
        <f t="shared" si="1"/>
        <v>3986.2476000000006</v>
      </c>
      <c r="M14" s="144">
        <f t="shared" si="4"/>
        <v>55807.466400000005</v>
      </c>
      <c r="N14" s="144"/>
    </row>
    <row r="15" spans="1:14" ht="16.5" thickBot="1" x14ac:dyDescent="0.3">
      <c r="A15" s="143">
        <v>6</v>
      </c>
      <c r="B15" s="144" t="s">
        <v>329</v>
      </c>
      <c r="C15" s="144">
        <v>0.2</v>
      </c>
      <c r="D15" s="144">
        <v>4</v>
      </c>
      <c r="E15" s="144">
        <v>1.36</v>
      </c>
      <c r="F15" s="144">
        <v>6845.07</v>
      </c>
      <c r="G15" s="144">
        <v>1.4</v>
      </c>
      <c r="H15" s="144">
        <f t="shared" si="2"/>
        <v>855.63374999999996</v>
      </c>
      <c r="I15" s="365">
        <f t="shared" si="3"/>
        <v>4620.4222499999996</v>
      </c>
      <c r="J15" s="366"/>
      <c r="K15" s="144">
        <f t="shared" si="0"/>
        <v>12321.126</v>
      </c>
      <c r="L15" s="144">
        <f t="shared" si="1"/>
        <v>2464.2252000000003</v>
      </c>
      <c r="M15" s="144">
        <f t="shared" si="4"/>
        <v>34499.152800000003</v>
      </c>
      <c r="N15" s="144"/>
    </row>
    <row r="16" spans="1:14" ht="63.75" thickBot="1" x14ac:dyDescent="0.3">
      <c r="A16" s="143">
        <v>7</v>
      </c>
      <c r="B16" s="144" t="s">
        <v>330</v>
      </c>
      <c r="C16" s="144">
        <v>0.2</v>
      </c>
      <c r="D16" s="144">
        <v>4</v>
      </c>
      <c r="E16" s="144">
        <v>1.36</v>
      </c>
      <c r="F16" s="144">
        <v>6845.07</v>
      </c>
      <c r="G16" s="144">
        <v>1.4</v>
      </c>
      <c r="H16" s="144">
        <f t="shared" si="2"/>
        <v>855.63374999999996</v>
      </c>
      <c r="I16" s="365">
        <f t="shared" si="3"/>
        <v>4620.4222499999996</v>
      </c>
      <c r="J16" s="366"/>
      <c r="K16" s="144">
        <f t="shared" si="0"/>
        <v>12321.126</v>
      </c>
      <c r="L16" s="144">
        <f t="shared" si="1"/>
        <v>2464.2252000000003</v>
      </c>
      <c r="M16" s="144">
        <f t="shared" si="4"/>
        <v>34499.152800000003</v>
      </c>
      <c r="N16" s="144"/>
    </row>
    <row r="17" spans="1:14" ht="16.5" thickBot="1" x14ac:dyDescent="0.3">
      <c r="A17" s="145"/>
      <c r="B17" s="146" t="s">
        <v>331</v>
      </c>
      <c r="C17" s="146">
        <f>C10+C11+C12+C13+C15+C16+C14</f>
        <v>3.0000000000000004</v>
      </c>
      <c r="D17" s="146"/>
      <c r="E17" s="146"/>
      <c r="F17" s="146"/>
      <c r="G17" s="146"/>
      <c r="H17" s="146"/>
      <c r="I17" s="369"/>
      <c r="J17" s="371"/>
      <c r="K17" s="146">
        <f>K10+K11+K12+K13+K15+K16</f>
        <v>160355.84399999998</v>
      </c>
      <c r="L17" s="146"/>
      <c r="M17" s="146">
        <f>M10+M11+M12+M13+M14+M15+M16</f>
        <v>1326188.1528</v>
      </c>
      <c r="N17" s="146"/>
    </row>
    <row r="18" spans="1:14" ht="18.75" x14ac:dyDescent="0.25">
      <c r="A18" s="147"/>
    </row>
    <row r="19" spans="1:14" ht="18.75" x14ac:dyDescent="0.25">
      <c r="A19" s="147"/>
      <c r="M19">
        <f>1326.188*0.302</f>
        <v>400.50877600000001</v>
      </c>
    </row>
    <row r="20" spans="1:14" ht="18.75" x14ac:dyDescent="0.25">
      <c r="A20" s="148"/>
      <c r="M20">
        <f>M17+M19</f>
        <v>1326588.661576</v>
      </c>
    </row>
  </sheetData>
  <mergeCells count="23">
    <mergeCell ref="I13:J13"/>
    <mergeCell ref="I15:J15"/>
    <mergeCell ref="I16:J16"/>
    <mergeCell ref="I17:J17"/>
    <mergeCell ref="I14:J14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2:J12"/>
    <mergeCell ref="G6:G7"/>
    <mergeCell ref="H6:H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8" workbookViewId="0">
      <selection activeCell="N63" sqref="N63"/>
    </sheetView>
  </sheetViews>
  <sheetFormatPr defaultRowHeight="15" x14ac:dyDescent="0.25"/>
  <cols>
    <col min="1" max="1" width="6.140625" customWidth="1"/>
    <col min="2" max="2" width="36.7109375" customWidth="1"/>
    <col min="3" max="5" width="20.7109375" customWidth="1"/>
  </cols>
  <sheetData>
    <row r="1" spans="1:5" ht="15.75" hidden="1" x14ac:dyDescent="0.25">
      <c r="A1" s="375" t="s">
        <v>334</v>
      </c>
      <c r="B1" s="375"/>
      <c r="C1" s="375"/>
      <c r="D1" s="375"/>
      <c r="E1" s="375"/>
    </row>
    <row r="2" spans="1:5" ht="15.75" hidden="1" x14ac:dyDescent="0.25">
      <c r="A2" s="375" t="s">
        <v>335</v>
      </c>
      <c r="B2" s="375"/>
      <c r="C2" s="375"/>
      <c r="D2" s="375"/>
      <c r="E2" s="375"/>
    </row>
    <row r="3" spans="1:5" ht="15.75" hidden="1" x14ac:dyDescent="0.25">
      <c r="A3" s="375"/>
      <c r="B3" s="375"/>
      <c r="C3" s="375"/>
      <c r="D3" s="375"/>
      <c r="E3" s="375"/>
    </row>
    <row r="4" spans="1:5" ht="15.75" hidden="1" thickBot="1" x14ac:dyDescent="0.3"/>
    <row r="5" spans="1:5" s="159" customFormat="1" ht="38.25" hidden="1" x14ac:dyDescent="0.2">
      <c r="A5" s="154"/>
      <c r="B5" s="155"/>
      <c r="C5" s="156" t="s">
        <v>336</v>
      </c>
      <c r="D5" s="157" t="s">
        <v>337</v>
      </c>
      <c r="E5" s="158" t="s">
        <v>338</v>
      </c>
    </row>
    <row r="6" spans="1:5" s="159" customFormat="1" ht="25.5" hidden="1" x14ac:dyDescent="0.2">
      <c r="A6" s="160">
        <v>1</v>
      </c>
      <c r="B6" s="161" t="s">
        <v>339</v>
      </c>
      <c r="C6" s="162"/>
      <c r="D6" s="162"/>
      <c r="E6" s="163"/>
    </row>
    <row r="7" spans="1:5" hidden="1" x14ac:dyDescent="0.25">
      <c r="A7" s="164" t="s">
        <v>340</v>
      </c>
      <c r="B7" s="56" t="s">
        <v>341</v>
      </c>
      <c r="C7" s="80">
        <v>17.556999999999999</v>
      </c>
      <c r="D7" s="80">
        <v>70</v>
      </c>
      <c r="E7" s="165">
        <f>ROUND(C7*D7/1000,2)</f>
        <v>1.23</v>
      </c>
    </row>
    <row r="8" spans="1:5" ht="30" hidden="1" x14ac:dyDescent="0.25">
      <c r="A8" s="164" t="s">
        <v>342</v>
      </c>
      <c r="B8" s="56" t="s">
        <v>343</v>
      </c>
      <c r="C8" s="80">
        <v>3.9889999999999999</v>
      </c>
      <c r="D8" s="80">
        <v>246</v>
      </c>
      <c r="E8" s="165">
        <f>ROUND(C8*D8/1000,2)</f>
        <v>0.98</v>
      </c>
    </row>
    <row r="9" spans="1:5" s="159" customFormat="1" ht="12.75" hidden="1" x14ac:dyDescent="0.2">
      <c r="A9" s="160"/>
      <c r="B9" s="161" t="s">
        <v>344</v>
      </c>
      <c r="C9" s="162">
        <f>C7+C8</f>
        <v>21.545999999999999</v>
      </c>
      <c r="D9" s="162"/>
      <c r="E9" s="163">
        <f>E7+E8</f>
        <v>2.21</v>
      </c>
    </row>
    <row r="10" spans="1:5" s="159" customFormat="1" ht="13.5" hidden="1" thickBot="1" x14ac:dyDescent="0.25">
      <c r="A10" s="166"/>
      <c r="B10" s="167" t="s">
        <v>345</v>
      </c>
      <c r="C10" s="168">
        <f>C9</f>
        <v>21.545999999999999</v>
      </c>
      <c r="D10" s="168"/>
      <c r="E10" s="169">
        <f>E9</f>
        <v>2.21</v>
      </c>
    </row>
    <row r="11" spans="1:5" hidden="1" x14ac:dyDescent="0.25">
      <c r="A11" s="170"/>
      <c r="B11" s="170"/>
      <c r="C11" s="170"/>
      <c r="D11" s="170"/>
      <c r="E11" s="170"/>
    </row>
    <row r="12" spans="1:5" hidden="1" x14ac:dyDescent="0.25">
      <c r="A12" s="376" t="s">
        <v>346</v>
      </c>
      <c r="B12" s="376"/>
      <c r="C12" s="376"/>
      <c r="D12" s="376"/>
      <c r="E12" s="376"/>
    </row>
    <row r="13" spans="1:5" hidden="1" x14ac:dyDescent="0.25">
      <c r="A13" s="171"/>
      <c r="B13" s="171"/>
      <c r="C13" s="171"/>
      <c r="D13" s="171"/>
      <c r="E13" s="171"/>
    </row>
    <row r="14" spans="1:5" hidden="1" x14ac:dyDescent="0.25"/>
    <row r="15" spans="1:5" s="173" customFormat="1" hidden="1" x14ac:dyDescent="0.2">
      <c r="A15" s="377" t="s">
        <v>347</v>
      </c>
      <c r="B15" s="377"/>
      <c r="C15" s="378" t="s">
        <v>348</v>
      </c>
      <c r="D15" s="378"/>
      <c r="E15" s="172" t="s">
        <v>349</v>
      </c>
    </row>
    <row r="16" spans="1:5" hidden="1" x14ac:dyDescent="0.25">
      <c r="C16" s="374" t="s">
        <v>350</v>
      </c>
      <c r="D16" s="374"/>
    </row>
    <row r="17" spans="1:6" hidden="1" x14ac:dyDescent="0.25"/>
    <row r="18" spans="1:6" hidden="1" x14ac:dyDescent="0.25"/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t="15.75" hidden="1" x14ac:dyDescent="0.25">
      <c r="A23" s="375" t="s">
        <v>334</v>
      </c>
      <c r="B23" s="375"/>
      <c r="C23" s="375"/>
      <c r="D23" s="375"/>
      <c r="E23" s="375"/>
    </row>
    <row r="24" spans="1:6" ht="15.75" hidden="1" x14ac:dyDescent="0.25">
      <c r="A24" s="375" t="s">
        <v>351</v>
      </c>
      <c r="B24" s="375"/>
      <c r="C24" s="375"/>
      <c r="D24" s="375"/>
      <c r="E24" s="375"/>
    </row>
    <row r="25" spans="1:6" ht="15.75" hidden="1" x14ac:dyDescent="0.25">
      <c r="A25" s="375"/>
      <c r="B25" s="375"/>
      <c r="C25" s="375"/>
      <c r="D25" s="375"/>
      <c r="E25" s="375"/>
    </row>
    <row r="26" spans="1:6" ht="15.75" hidden="1" thickBot="1" x14ac:dyDescent="0.3"/>
    <row r="27" spans="1:6" ht="38.25" hidden="1" x14ac:dyDescent="0.25">
      <c r="A27" s="154"/>
      <c r="B27" s="155"/>
      <c r="C27" s="156" t="s">
        <v>336</v>
      </c>
      <c r="D27" s="157" t="s">
        <v>337</v>
      </c>
      <c r="E27" s="158" t="s">
        <v>338</v>
      </c>
    </row>
    <row r="28" spans="1:6" ht="25.5" hidden="1" x14ac:dyDescent="0.25">
      <c r="A28" s="160">
        <v>1</v>
      </c>
      <c r="B28" s="161" t="s">
        <v>339</v>
      </c>
      <c r="C28" s="162"/>
      <c r="D28" s="162"/>
      <c r="E28" s="163"/>
    </row>
    <row r="29" spans="1:6" hidden="1" x14ac:dyDescent="0.25">
      <c r="A29" s="164" t="s">
        <v>340</v>
      </c>
      <c r="B29" s="56" t="s">
        <v>341</v>
      </c>
      <c r="C29" s="80">
        <v>22.242000000000001</v>
      </c>
      <c r="D29" s="80">
        <v>70</v>
      </c>
      <c r="E29" s="165">
        <f>ROUND(C29*D29/1000,2)</f>
        <v>1.56</v>
      </c>
      <c r="F29">
        <v>12.845000000000001</v>
      </c>
    </row>
    <row r="30" spans="1:6" ht="33.75" hidden="1" customHeight="1" x14ac:dyDescent="0.25">
      <c r="A30" s="164" t="s">
        <v>342</v>
      </c>
      <c r="B30" s="56" t="s">
        <v>343</v>
      </c>
      <c r="C30" s="80">
        <v>5.0490000000000004</v>
      </c>
      <c r="D30" s="80">
        <v>246</v>
      </c>
      <c r="E30" s="165">
        <f>ROUND(C30*D30/1000,2)</f>
        <v>1.24</v>
      </c>
      <c r="F30">
        <v>3.0550000000000002</v>
      </c>
    </row>
    <row r="31" spans="1:6" ht="15.75" hidden="1" customHeight="1" x14ac:dyDescent="0.25">
      <c r="A31" s="160"/>
      <c r="B31" s="161" t="s">
        <v>344</v>
      </c>
      <c r="C31" s="162">
        <f>C29+C30</f>
        <v>27.291</v>
      </c>
      <c r="D31" s="162"/>
      <c r="E31" s="163">
        <f>E29+E30</f>
        <v>2.8</v>
      </c>
    </row>
    <row r="32" spans="1:6" ht="21" hidden="1" customHeight="1" thickBot="1" x14ac:dyDescent="0.3">
      <c r="A32" s="166"/>
      <c r="B32" s="167" t="s">
        <v>345</v>
      </c>
      <c r="C32" s="168">
        <f>C31</f>
        <v>27.291</v>
      </c>
      <c r="D32" s="168"/>
      <c r="E32" s="169">
        <f>E31</f>
        <v>2.8</v>
      </c>
    </row>
    <row r="33" spans="1:5" hidden="1" x14ac:dyDescent="0.25">
      <c r="A33" s="170"/>
      <c r="B33" s="170"/>
      <c r="C33" s="170"/>
      <c r="D33" s="170"/>
      <c r="E33" s="170"/>
    </row>
    <row r="34" spans="1:5" hidden="1" x14ac:dyDescent="0.25">
      <c r="A34" s="376" t="s">
        <v>346</v>
      </c>
      <c r="B34" s="376"/>
      <c r="C34" s="376"/>
      <c r="D34" s="376"/>
      <c r="E34" s="376"/>
    </row>
    <row r="35" spans="1:5" hidden="1" x14ac:dyDescent="0.25">
      <c r="A35" s="171"/>
      <c r="B35" s="171"/>
      <c r="C35" s="171"/>
      <c r="D35" s="171"/>
      <c r="E35" s="171"/>
    </row>
    <row r="36" spans="1:5" hidden="1" x14ac:dyDescent="0.25"/>
    <row r="37" spans="1:5" ht="15.75" hidden="1" x14ac:dyDescent="0.25">
      <c r="A37" s="377" t="s">
        <v>347</v>
      </c>
      <c r="B37" s="377"/>
      <c r="C37" s="378" t="s">
        <v>348</v>
      </c>
      <c r="D37" s="378"/>
      <c r="E37" s="172" t="s">
        <v>352</v>
      </c>
    </row>
    <row r="38" spans="1:5" hidden="1" x14ac:dyDescent="0.25">
      <c r="C38" s="374" t="s">
        <v>350</v>
      </c>
      <c r="D38" s="374"/>
    </row>
    <row r="39" spans="1:5" hidden="1" x14ac:dyDescent="0.25"/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9" spans="1:5" ht="15.75" x14ac:dyDescent="0.25">
      <c r="A49" s="375" t="s">
        <v>334</v>
      </c>
      <c r="B49" s="375"/>
      <c r="C49" s="375"/>
      <c r="D49" s="375"/>
      <c r="E49" s="375"/>
    </row>
    <row r="50" spans="1:5" ht="15.75" x14ac:dyDescent="0.25">
      <c r="A50" s="375" t="s">
        <v>351</v>
      </c>
      <c r="B50" s="375"/>
      <c r="C50" s="375"/>
      <c r="D50" s="375"/>
      <c r="E50" s="375"/>
    </row>
    <row r="51" spans="1:5" ht="15.75" x14ac:dyDescent="0.25">
      <c r="A51" s="375"/>
      <c r="B51" s="375"/>
      <c r="C51" s="375"/>
      <c r="D51" s="375"/>
      <c r="E51" s="375"/>
    </row>
    <row r="52" spans="1:5" ht="15.75" thickBot="1" x14ac:dyDescent="0.3"/>
    <row r="53" spans="1:5" ht="38.25" x14ac:dyDescent="0.25">
      <c r="A53" s="154"/>
      <c r="B53" s="155"/>
      <c r="C53" s="156" t="s">
        <v>336</v>
      </c>
      <c r="D53" s="157" t="s">
        <v>337</v>
      </c>
      <c r="E53" s="158" t="s">
        <v>338</v>
      </c>
    </row>
    <row r="54" spans="1:5" ht="25.5" x14ac:dyDescent="0.25">
      <c r="A54" s="160">
        <v>1</v>
      </c>
      <c r="B54" s="161" t="s">
        <v>339</v>
      </c>
      <c r="C54" s="162"/>
      <c r="D54" s="162"/>
      <c r="E54" s="163"/>
    </row>
    <row r="55" spans="1:5" x14ac:dyDescent="0.25">
      <c r="A55" s="164" t="s">
        <v>340</v>
      </c>
      <c r="B55" s="56" t="s">
        <v>341</v>
      </c>
      <c r="C55" s="80">
        <v>11.69</v>
      </c>
      <c r="D55" s="80">
        <v>70</v>
      </c>
      <c r="E55" s="165">
        <f>ROUND(C55*D55/1000,2)</f>
        <v>0.82</v>
      </c>
    </row>
    <row r="56" spans="1:5" ht="30" x14ac:dyDescent="0.25">
      <c r="A56" s="164" t="s">
        <v>342</v>
      </c>
      <c r="B56" s="56" t="s">
        <v>343</v>
      </c>
      <c r="C56" s="80">
        <v>14.446999999999999</v>
      </c>
      <c r="D56" s="80">
        <v>246</v>
      </c>
      <c r="E56" s="165">
        <f>ROUND(C56*D56/1000,2)</f>
        <v>3.55</v>
      </c>
    </row>
    <row r="57" spans="1:5" x14ac:dyDescent="0.25">
      <c r="A57" s="160"/>
      <c r="B57" s="161" t="s">
        <v>344</v>
      </c>
      <c r="C57" s="162">
        <f>C55+C56</f>
        <v>26.137</v>
      </c>
      <c r="D57" s="162"/>
      <c r="E57" s="163">
        <f>E55+E56</f>
        <v>4.37</v>
      </c>
    </row>
    <row r="58" spans="1:5" ht="15.75" thickBot="1" x14ac:dyDescent="0.3">
      <c r="A58" s="166"/>
      <c r="B58" s="167" t="s">
        <v>345</v>
      </c>
      <c r="C58" s="168">
        <f>C57</f>
        <v>26.137</v>
      </c>
      <c r="D58" s="168"/>
      <c r="E58" s="169">
        <f>E57</f>
        <v>4.37</v>
      </c>
    </row>
    <row r="59" spans="1:5" x14ac:dyDescent="0.25">
      <c r="A59" s="170"/>
      <c r="B59" s="170"/>
      <c r="C59" s="170"/>
      <c r="D59" s="170"/>
      <c r="E59" s="170"/>
    </row>
    <row r="60" spans="1:5" x14ac:dyDescent="0.25">
      <c r="A60" s="376" t="s">
        <v>346</v>
      </c>
      <c r="B60" s="376"/>
      <c r="C60" s="376"/>
      <c r="D60" s="376"/>
      <c r="E60" s="376"/>
    </row>
    <row r="61" spans="1:5" x14ac:dyDescent="0.25">
      <c r="A61" s="171"/>
      <c r="B61" s="171"/>
      <c r="C61" s="171"/>
      <c r="D61" s="171"/>
      <c r="E61" s="171"/>
    </row>
    <row r="63" spans="1:5" ht="15.75" x14ac:dyDescent="0.25">
      <c r="A63" s="377"/>
      <c r="B63" s="377"/>
      <c r="C63" s="378"/>
      <c r="D63" s="378"/>
      <c r="E63" s="172"/>
    </row>
    <row r="64" spans="1:5" x14ac:dyDescent="0.25">
      <c r="C64" s="374"/>
      <c r="D64" s="374"/>
    </row>
  </sheetData>
  <mergeCells count="21">
    <mergeCell ref="A37:B37"/>
    <mergeCell ref="C37:D37"/>
    <mergeCell ref="A1:E1"/>
    <mergeCell ref="A2:E2"/>
    <mergeCell ref="A3:E3"/>
    <mergeCell ref="A12:E12"/>
    <mergeCell ref="A15:B15"/>
    <mergeCell ref="C15:D15"/>
    <mergeCell ref="C16:D16"/>
    <mergeCell ref="A23:E23"/>
    <mergeCell ref="A24:E24"/>
    <mergeCell ref="A25:E25"/>
    <mergeCell ref="A34:E34"/>
    <mergeCell ref="C64:D64"/>
    <mergeCell ref="C38:D38"/>
    <mergeCell ref="A49:E49"/>
    <mergeCell ref="A50:E50"/>
    <mergeCell ref="A51:E51"/>
    <mergeCell ref="A60:E60"/>
    <mergeCell ref="A63:B63"/>
    <mergeCell ref="C63:D6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7" workbookViewId="0">
      <selection activeCell="A5" sqref="A5"/>
    </sheetView>
  </sheetViews>
  <sheetFormatPr defaultRowHeight="15" x14ac:dyDescent="0.25"/>
  <cols>
    <col min="1" max="1" width="6.5703125" customWidth="1"/>
    <col min="2" max="2" width="36.285156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6.285156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6.285156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6.285156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6.285156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6.285156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6.285156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6.285156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6.285156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6.285156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6.285156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6.285156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6.285156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6.285156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6.285156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6.285156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6.285156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6.285156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6.285156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6.285156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6.285156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6.285156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6.285156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6.285156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6.285156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6.285156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6.285156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6.285156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6.285156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6.285156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6.285156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6.285156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6.285156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6.285156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6.285156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6.285156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6.285156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6.285156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6.285156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6.285156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6.285156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6.285156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6.285156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6.285156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6.285156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6.285156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6.285156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6.285156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6.285156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6.285156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6.285156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6.285156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6.285156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6.285156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6.285156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6.285156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6.285156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6.285156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6.285156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6.285156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6.285156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6.285156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6.285156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6.285156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x14ac:dyDescent="0.25">
      <c r="A1" s="212"/>
      <c r="B1" s="212"/>
      <c r="C1" s="212"/>
      <c r="D1" s="212"/>
    </row>
    <row r="2" spans="1:8" ht="37.5" customHeight="1" x14ac:dyDescent="0.3">
      <c r="A2" s="213"/>
      <c r="B2" s="213"/>
      <c r="C2" s="333" t="s">
        <v>438</v>
      </c>
      <c r="D2" s="333"/>
      <c r="E2" s="333"/>
    </row>
    <row r="3" spans="1:8" ht="18.75" x14ac:dyDescent="0.3">
      <c r="A3" s="299"/>
      <c r="B3" s="299"/>
      <c r="C3" s="299"/>
      <c r="D3" s="299"/>
      <c r="E3" s="300"/>
    </row>
    <row r="4" spans="1:8" ht="77.25" customHeight="1" x14ac:dyDescent="0.3">
      <c r="A4" s="333" t="s">
        <v>439</v>
      </c>
      <c r="B4" s="333"/>
      <c r="C4" s="333"/>
      <c r="D4" s="333"/>
      <c r="E4" s="333"/>
      <c r="F4" s="182"/>
    </row>
    <row r="5" spans="1:8" ht="18.75" x14ac:dyDescent="0.3">
      <c r="A5" s="214"/>
      <c r="B5" s="214"/>
      <c r="C5" s="214"/>
      <c r="D5" s="214"/>
      <c r="E5" s="214"/>
      <c r="F5" s="183"/>
      <c r="G5" s="183"/>
      <c r="H5" s="183"/>
    </row>
    <row r="6" spans="1:8" ht="15.75" x14ac:dyDescent="0.25">
      <c r="A6" s="324" t="s">
        <v>160</v>
      </c>
      <c r="B6" s="324" t="s">
        <v>233</v>
      </c>
      <c r="C6" s="379" t="s">
        <v>383</v>
      </c>
      <c r="D6" s="379"/>
      <c r="E6" s="379"/>
    </row>
    <row r="7" spans="1:8" ht="63" x14ac:dyDescent="0.25">
      <c r="A7" s="326"/>
      <c r="B7" s="326"/>
      <c r="C7" s="185" t="s">
        <v>234</v>
      </c>
      <c r="D7" s="185" t="s">
        <v>220</v>
      </c>
      <c r="E7" s="298" t="s">
        <v>221</v>
      </c>
    </row>
    <row r="8" spans="1:8" s="77" customFormat="1" ht="15.75" x14ac:dyDescent="0.25">
      <c r="A8" s="185">
        <v>1</v>
      </c>
      <c r="B8" s="185">
        <v>2</v>
      </c>
      <c r="C8" s="185">
        <v>3</v>
      </c>
      <c r="D8" s="185">
        <v>4</v>
      </c>
      <c r="E8" s="185">
        <v>5</v>
      </c>
    </row>
    <row r="9" spans="1:8" ht="94.5" x14ac:dyDescent="0.25">
      <c r="A9" s="185" t="s">
        <v>214</v>
      </c>
      <c r="B9" s="5" t="s">
        <v>235</v>
      </c>
      <c r="C9" s="189">
        <v>0</v>
      </c>
      <c r="D9" s="189">
        <v>0</v>
      </c>
      <c r="E9" s="189">
        <f t="shared" ref="E9:E14" si="0">+C9-D9</f>
        <v>0</v>
      </c>
    </row>
    <row r="10" spans="1:8" ht="31.5" x14ac:dyDescent="0.25">
      <c r="A10" s="185" t="s">
        <v>51</v>
      </c>
      <c r="B10" s="78" t="s">
        <v>131</v>
      </c>
      <c r="C10" s="189">
        <v>0</v>
      </c>
      <c r="D10" s="189">
        <v>0</v>
      </c>
      <c r="E10" s="189">
        <f t="shared" si="0"/>
        <v>0</v>
      </c>
    </row>
    <row r="11" spans="1:8" ht="15.75" x14ac:dyDescent="0.25">
      <c r="A11" s="185" t="s">
        <v>73</v>
      </c>
      <c r="B11" s="78" t="s">
        <v>132</v>
      </c>
      <c r="C11" s="189">
        <v>0</v>
      </c>
      <c r="D11" s="189">
        <v>0</v>
      </c>
      <c r="E11" s="189">
        <f t="shared" si="0"/>
        <v>0</v>
      </c>
    </row>
    <row r="12" spans="1:8" ht="15.75" x14ac:dyDescent="0.25">
      <c r="A12" s="185">
        <v>4</v>
      </c>
      <c r="B12" s="215" t="s">
        <v>133</v>
      </c>
      <c r="C12" s="189">
        <v>0</v>
      </c>
      <c r="D12" s="189">
        <v>0</v>
      </c>
      <c r="E12" s="189">
        <f t="shared" si="0"/>
        <v>0</v>
      </c>
    </row>
    <row r="13" spans="1:8" ht="15.75" x14ac:dyDescent="0.25">
      <c r="A13" s="185" t="s">
        <v>112</v>
      </c>
      <c r="B13" s="215" t="s">
        <v>236</v>
      </c>
      <c r="C13" s="189">
        <v>0</v>
      </c>
      <c r="D13" s="189">
        <v>0</v>
      </c>
      <c r="E13" s="189">
        <f t="shared" si="0"/>
        <v>0</v>
      </c>
    </row>
    <row r="14" spans="1:8" ht="15.75" x14ac:dyDescent="0.25">
      <c r="A14" s="185" t="s">
        <v>228</v>
      </c>
      <c r="B14" s="215" t="s">
        <v>384</v>
      </c>
      <c r="C14" s="189">
        <v>0</v>
      </c>
      <c r="D14" s="189">
        <v>0</v>
      </c>
      <c r="E14" s="189">
        <f t="shared" si="0"/>
        <v>0</v>
      </c>
    </row>
    <row r="15" spans="1:8" ht="15.75" x14ac:dyDescent="0.25">
      <c r="A15" s="185" t="s">
        <v>120</v>
      </c>
      <c r="B15" s="5" t="s">
        <v>129</v>
      </c>
      <c r="C15" s="189">
        <f>C9+C10+C11+C12+C13+C14</f>
        <v>0</v>
      </c>
      <c r="D15" s="189">
        <f>D9+D10+D11+D12+D13+D14</f>
        <v>0</v>
      </c>
      <c r="E15" s="189">
        <f>SUM(E9:E14)</f>
        <v>0</v>
      </c>
    </row>
  </sheetData>
  <mergeCells count="5">
    <mergeCell ref="C2:E2"/>
    <mergeCell ref="A4:E4"/>
    <mergeCell ref="A6:A7"/>
    <mergeCell ref="B6:B7"/>
    <mergeCell ref="C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W11" sqref="W11"/>
    </sheetView>
  </sheetViews>
  <sheetFormatPr defaultRowHeight="15" x14ac:dyDescent="0.2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 x14ac:dyDescent="0.25">
      <c r="A1" s="314" t="s">
        <v>144</v>
      </c>
      <c r="B1" s="315"/>
      <c r="C1" s="315"/>
      <c r="D1" s="315"/>
      <c r="E1" s="315"/>
      <c r="F1" s="315"/>
      <c r="G1" s="315"/>
      <c r="H1" s="315"/>
      <c r="I1" s="27"/>
      <c r="J1" s="27"/>
      <c r="K1" s="27"/>
      <c r="L1" s="27"/>
      <c r="M1" s="28"/>
    </row>
    <row r="2" spans="1:23" x14ac:dyDescent="0.25">
      <c r="A2" s="316"/>
      <c r="B2" s="317"/>
      <c r="C2" s="317"/>
      <c r="D2" s="317"/>
      <c r="E2" s="317"/>
      <c r="F2" s="317"/>
      <c r="G2" s="317"/>
      <c r="H2" s="317"/>
      <c r="I2" s="29"/>
      <c r="J2" s="30" t="s">
        <v>145</v>
      </c>
      <c r="K2" s="31"/>
      <c r="L2" s="31"/>
      <c r="M2" s="32"/>
      <c r="O2" s="33" t="s">
        <v>146</v>
      </c>
      <c r="T2" s="30" t="s">
        <v>147</v>
      </c>
    </row>
    <row r="3" spans="1:23" ht="60" x14ac:dyDescent="0.25">
      <c r="A3" s="34" t="s">
        <v>148</v>
      </c>
      <c r="B3" s="35" t="s">
        <v>149</v>
      </c>
      <c r="C3" s="35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29"/>
      <c r="J3" s="36" t="s">
        <v>156</v>
      </c>
      <c r="K3" s="36" t="s">
        <v>157</v>
      </c>
      <c r="L3" s="36" t="s">
        <v>158</v>
      </c>
      <c r="M3" s="37" t="s">
        <v>159</v>
      </c>
      <c r="O3" s="36" t="s">
        <v>156</v>
      </c>
      <c r="P3" s="36" t="s">
        <v>157</v>
      </c>
      <c r="Q3" s="36" t="s">
        <v>158</v>
      </c>
      <c r="R3" s="37" t="s">
        <v>159</v>
      </c>
      <c r="T3" s="36" t="s">
        <v>156</v>
      </c>
      <c r="U3" s="36" t="s">
        <v>157</v>
      </c>
      <c r="V3" s="36" t="s">
        <v>158</v>
      </c>
      <c r="W3" s="37" t="s">
        <v>159</v>
      </c>
    </row>
    <row r="4" spans="1:23" x14ac:dyDescent="0.25">
      <c r="A4" s="38">
        <v>5040</v>
      </c>
      <c r="B4" s="39">
        <v>1</v>
      </c>
      <c r="C4" s="40">
        <v>1</v>
      </c>
      <c r="D4" s="41">
        <v>1.4</v>
      </c>
      <c r="E4" s="41">
        <v>1.1000000000000001</v>
      </c>
      <c r="F4" s="41">
        <v>1.6</v>
      </c>
      <c r="G4" s="40">
        <f>A4*C4*D4*E4*F4/1000</f>
        <v>12.418560000000001</v>
      </c>
      <c r="H4" s="42">
        <f t="shared" ref="H4:H21" si="0">G4*12</f>
        <v>149.02272000000002</v>
      </c>
      <c r="I4" s="29"/>
      <c r="J4" s="43">
        <v>1</v>
      </c>
      <c r="K4" s="44">
        <v>0</v>
      </c>
      <c r="L4" s="45">
        <f t="shared" ref="L4:L21" si="1">H4</f>
        <v>149.02272000000002</v>
      </c>
      <c r="M4" s="46">
        <f t="shared" ref="M4:M21" si="2">K4*L4</f>
        <v>0</v>
      </c>
      <c r="O4" s="43">
        <v>1</v>
      </c>
      <c r="P4" s="44">
        <v>0</v>
      </c>
      <c r="Q4" s="45">
        <f>L4</f>
        <v>149.02272000000002</v>
      </c>
      <c r="R4" s="46">
        <f t="shared" ref="R4:R21" si="3">P4*Q4</f>
        <v>0</v>
      </c>
      <c r="T4" s="43">
        <v>1</v>
      </c>
      <c r="U4" s="44">
        <v>0</v>
      </c>
      <c r="V4" s="45">
        <f>Q4</f>
        <v>149.02272000000002</v>
      </c>
      <c r="W4" s="46">
        <f t="shared" ref="W4:W21" si="4">U4*V4</f>
        <v>0</v>
      </c>
    </row>
    <row r="5" spans="1:23" x14ac:dyDescent="0.25">
      <c r="A5" s="38">
        <f t="shared" ref="A5:A21" si="5">A4</f>
        <v>5040</v>
      </c>
      <c r="B5" s="39">
        <v>2</v>
      </c>
      <c r="C5" s="40">
        <v>1.1100000000000001</v>
      </c>
      <c r="D5" s="41">
        <f>D4</f>
        <v>1.4</v>
      </c>
      <c r="E5" s="41">
        <f>E4</f>
        <v>1.1000000000000001</v>
      </c>
      <c r="F5" s="41">
        <f>F4</f>
        <v>1.6</v>
      </c>
      <c r="G5" s="40">
        <f t="shared" ref="G5:G21" si="6">A5*C5*D5*E5*F5/1000</f>
        <v>13.784601600000002</v>
      </c>
      <c r="H5" s="42">
        <f t="shared" si="0"/>
        <v>165.41521920000002</v>
      </c>
      <c r="I5" s="29"/>
      <c r="J5" s="43">
        <f t="shared" ref="J5:J21" si="7">1+J4</f>
        <v>2</v>
      </c>
      <c r="K5" s="44">
        <v>3</v>
      </c>
      <c r="L5" s="45">
        <f t="shared" si="1"/>
        <v>165.41521920000002</v>
      </c>
      <c r="M5" s="46">
        <f t="shared" si="2"/>
        <v>496.24565760000007</v>
      </c>
      <c r="O5" s="43">
        <f t="shared" ref="O5:O21" si="8">1+O4</f>
        <v>2</v>
      </c>
      <c r="P5" s="44">
        <v>0</v>
      </c>
      <c r="Q5" s="45">
        <f t="shared" ref="Q5:Q21" si="9">L5</f>
        <v>165.41521920000002</v>
      </c>
      <c r="R5" s="46">
        <f t="shared" si="3"/>
        <v>0</v>
      </c>
      <c r="T5" s="43">
        <f t="shared" ref="T5:T21" si="10">1+T4</f>
        <v>2</v>
      </c>
      <c r="U5" s="44">
        <v>0</v>
      </c>
      <c r="V5" s="45">
        <f t="shared" ref="V5:V21" si="11">Q5</f>
        <v>165.41521920000002</v>
      </c>
      <c r="W5" s="46">
        <f t="shared" si="4"/>
        <v>0</v>
      </c>
    </row>
    <row r="6" spans="1:23" x14ac:dyDescent="0.25">
      <c r="A6" s="38">
        <f t="shared" si="5"/>
        <v>5040</v>
      </c>
      <c r="B6" s="39">
        <v>3</v>
      </c>
      <c r="C6" s="40">
        <v>1.23</v>
      </c>
      <c r="D6" s="41">
        <f>D5</f>
        <v>1.4</v>
      </c>
      <c r="E6" s="41">
        <f t="shared" ref="E6:F21" si="12">E5</f>
        <v>1.1000000000000001</v>
      </c>
      <c r="F6" s="41">
        <f t="shared" si="12"/>
        <v>1.6</v>
      </c>
      <c r="G6" s="40">
        <f t="shared" si="6"/>
        <v>15.274828800000002</v>
      </c>
      <c r="H6" s="42">
        <f t="shared" si="0"/>
        <v>183.29794560000002</v>
      </c>
      <c r="I6" s="29"/>
      <c r="J6" s="43">
        <f t="shared" si="7"/>
        <v>3</v>
      </c>
      <c r="K6" s="44">
        <v>1</v>
      </c>
      <c r="L6" s="45">
        <f t="shared" si="1"/>
        <v>183.29794560000002</v>
      </c>
      <c r="M6" s="46">
        <f t="shared" si="2"/>
        <v>183.29794560000002</v>
      </c>
      <c r="O6" s="43">
        <f t="shared" si="8"/>
        <v>3</v>
      </c>
      <c r="P6" s="44">
        <v>2</v>
      </c>
      <c r="Q6" s="45">
        <f t="shared" si="9"/>
        <v>183.29794560000002</v>
      </c>
      <c r="R6" s="46">
        <f t="shared" si="3"/>
        <v>366.59589120000004</v>
      </c>
      <c r="T6" s="43">
        <f t="shared" si="10"/>
        <v>3</v>
      </c>
      <c r="U6" s="44">
        <v>1.5</v>
      </c>
      <c r="V6" s="45">
        <f t="shared" si="11"/>
        <v>183.29794560000002</v>
      </c>
      <c r="W6" s="46">
        <f>U6*V6/1.4</f>
        <v>196.39065600000004</v>
      </c>
    </row>
    <row r="7" spans="1:23" x14ac:dyDescent="0.25">
      <c r="A7" s="38">
        <f t="shared" si="5"/>
        <v>5040</v>
      </c>
      <c r="B7" s="39">
        <v>4</v>
      </c>
      <c r="C7" s="40">
        <v>1.36</v>
      </c>
      <c r="D7" s="41">
        <f t="shared" ref="D7:D21" si="13">D6</f>
        <v>1.4</v>
      </c>
      <c r="E7" s="41">
        <f t="shared" si="12"/>
        <v>1.1000000000000001</v>
      </c>
      <c r="F7" s="41">
        <f t="shared" si="12"/>
        <v>1.6</v>
      </c>
      <c r="G7" s="40">
        <f t="shared" si="6"/>
        <v>16.889241600000002</v>
      </c>
      <c r="H7" s="42">
        <f t="shared" si="0"/>
        <v>202.67089920000001</v>
      </c>
      <c r="I7" s="29"/>
      <c r="J7" s="43">
        <f t="shared" si="7"/>
        <v>4</v>
      </c>
      <c r="K7" s="44">
        <v>0</v>
      </c>
      <c r="L7" s="45">
        <f t="shared" si="1"/>
        <v>202.67089920000001</v>
      </c>
      <c r="M7" s="46">
        <f t="shared" si="2"/>
        <v>0</v>
      </c>
      <c r="O7" s="43">
        <f t="shared" si="8"/>
        <v>4</v>
      </c>
      <c r="P7" s="44">
        <v>1.5</v>
      </c>
      <c r="Q7" s="45">
        <f t="shared" si="9"/>
        <v>202.67089920000001</v>
      </c>
      <c r="R7" s="46">
        <f t="shared" si="3"/>
        <v>304.00634880000001</v>
      </c>
      <c r="T7" s="43">
        <f t="shared" si="10"/>
        <v>4</v>
      </c>
      <c r="U7" s="44">
        <v>0</v>
      </c>
      <c r="V7" s="45">
        <f t="shared" si="11"/>
        <v>202.67089920000001</v>
      </c>
      <c r="W7" s="46">
        <f t="shared" si="4"/>
        <v>0</v>
      </c>
    </row>
    <row r="8" spans="1:23" x14ac:dyDescent="0.25">
      <c r="A8" s="38">
        <f>A7</f>
        <v>5040</v>
      </c>
      <c r="B8" s="39">
        <v>5</v>
      </c>
      <c r="C8" s="40">
        <v>1.51</v>
      </c>
      <c r="D8" s="41">
        <f>D7</f>
        <v>1.4</v>
      </c>
      <c r="E8" s="41">
        <f>E7</f>
        <v>1.1000000000000001</v>
      </c>
      <c r="F8" s="41">
        <f>F7</f>
        <v>1.6</v>
      </c>
      <c r="G8" s="40">
        <f t="shared" si="6"/>
        <v>18.7520256</v>
      </c>
      <c r="H8" s="42">
        <f t="shared" si="0"/>
        <v>225.02430720000001</v>
      </c>
      <c r="I8" s="29"/>
      <c r="J8" s="43">
        <f>1+J7</f>
        <v>5</v>
      </c>
      <c r="K8" s="44">
        <v>0</v>
      </c>
      <c r="L8" s="45">
        <f t="shared" si="1"/>
        <v>225.02430720000001</v>
      </c>
      <c r="M8" s="46">
        <f t="shared" si="2"/>
        <v>0</v>
      </c>
      <c r="O8" s="43">
        <f>1+O7</f>
        <v>5</v>
      </c>
      <c r="P8" s="44">
        <v>1.5</v>
      </c>
      <c r="Q8" s="45">
        <f t="shared" si="9"/>
        <v>225.02430720000001</v>
      </c>
      <c r="R8" s="46">
        <f t="shared" si="3"/>
        <v>337.53646079999999</v>
      </c>
      <c r="T8" s="43">
        <f>1+T7</f>
        <v>5</v>
      </c>
      <c r="U8" s="44">
        <v>0</v>
      </c>
      <c r="V8" s="45">
        <f t="shared" si="11"/>
        <v>225.02430720000001</v>
      </c>
      <c r="W8" s="46">
        <f t="shared" si="4"/>
        <v>0</v>
      </c>
    </row>
    <row r="9" spans="1:23" x14ac:dyDescent="0.25">
      <c r="A9" s="38">
        <f t="shared" si="5"/>
        <v>5040</v>
      </c>
      <c r="B9" s="39">
        <v>6</v>
      </c>
      <c r="C9" s="40">
        <v>1.67</v>
      </c>
      <c r="D9" s="41">
        <f t="shared" si="13"/>
        <v>1.4</v>
      </c>
      <c r="E9" s="41">
        <f t="shared" si="12"/>
        <v>1.1000000000000001</v>
      </c>
      <c r="F9" s="41">
        <f t="shared" si="12"/>
        <v>1.6</v>
      </c>
      <c r="G9" s="40">
        <f t="shared" si="6"/>
        <v>20.738995200000002</v>
      </c>
      <c r="H9" s="42">
        <f t="shared" si="0"/>
        <v>248.8679424</v>
      </c>
      <c r="I9" s="29"/>
      <c r="J9" s="43">
        <f t="shared" si="7"/>
        <v>6</v>
      </c>
      <c r="K9" s="44">
        <v>0</v>
      </c>
      <c r="L9" s="45">
        <f t="shared" si="1"/>
        <v>248.8679424</v>
      </c>
      <c r="M9" s="46">
        <f t="shared" si="2"/>
        <v>0</v>
      </c>
      <c r="O9" s="43">
        <f t="shared" si="8"/>
        <v>6</v>
      </c>
      <c r="P9" s="44">
        <v>0</v>
      </c>
      <c r="Q9" s="45">
        <f t="shared" si="9"/>
        <v>248.8679424</v>
      </c>
      <c r="R9" s="46">
        <f t="shared" si="3"/>
        <v>0</v>
      </c>
      <c r="T9" s="43">
        <f t="shared" si="10"/>
        <v>6</v>
      </c>
      <c r="U9" s="44">
        <v>0</v>
      </c>
      <c r="V9" s="45">
        <f t="shared" si="11"/>
        <v>248.8679424</v>
      </c>
      <c r="W9" s="46">
        <f t="shared" si="4"/>
        <v>0</v>
      </c>
    </row>
    <row r="10" spans="1:23" x14ac:dyDescent="0.25">
      <c r="A10" s="38">
        <f t="shared" si="5"/>
        <v>5040</v>
      </c>
      <c r="B10" s="39">
        <v>7</v>
      </c>
      <c r="C10" s="40">
        <v>1.84</v>
      </c>
      <c r="D10" s="41">
        <f t="shared" si="13"/>
        <v>1.4</v>
      </c>
      <c r="E10" s="41">
        <f t="shared" si="12"/>
        <v>1.1000000000000001</v>
      </c>
      <c r="F10" s="41">
        <f t="shared" si="12"/>
        <v>1.6</v>
      </c>
      <c r="G10" s="40">
        <f t="shared" si="6"/>
        <v>22.850150400000004</v>
      </c>
      <c r="H10" s="42">
        <f t="shared" si="0"/>
        <v>274.20180480000005</v>
      </c>
      <c r="I10" s="29"/>
      <c r="J10" s="43">
        <f t="shared" si="7"/>
        <v>7</v>
      </c>
      <c r="K10" s="44">
        <v>0</v>
      </c>
      <c r="L10" s="45">
        <f t="shared" si="1"/>
        <v>274.20180480000005</v>
      </c>
      <c r="M10" s="46">
        <f t="shared" si="2"/>
        <v>0</v>
      </c>
      <c r="O10" s="43">
        <f t="shared" si="8"/>
        <v>7</v>
      </c>
      <c r="P10" s="44">
        <v>0</v>
      </c>
      <c r="Q10" s="45">
        <f t="shared" si="9"/>
        <v>274.20180480000005</v>
      </c>
      <c r="R10" s="46">
        <f t="shared" si="3"/>
        <v>0</v>
      </c>
      <c r="T10" s="43">
        <f t="shared" si="10"/>
        <v>7</v>
      </c>
      <c r="U10" s="44">
        <v>1</v>
      </c>
      <c r="V10" s="45">
        <f t="shared" si="11"/>
        <v>274.20180480000005</v>
      </c>
      <c r="W10" s="46">
        <f>U10*V10/1.4</f>
        <v>195.85843200000005</v>
      </c>
    </row>
    <row r="11" spans="1:23" x14ac:dyDescent="0.25">
      <c r="A11" s="38">
        <f t="shared" si="5"/>
        <v>5040</v>
      </c>
      <c r="B11" s="39">
        <v>8</v>
      </c>
      <c r="C11" s="40">
        <v>2.02</v>
      </c>
      <c r="D11" s="41">
        <f t="shared" si="13"/>
        <v>1.4</v>
      </c>
      <c r="E11" s="41">
        <f t="shared" si="12"/>
        <v>1.1000000000000001</v>
      </c>
      <c r="F11" s="41">
        <f t="shared" si="12"/>
        <v>1.6</v>
      </c>
      <c r="G11" s="40">
        <f t="shared" si="6"/>
        <v>25.085491200000003</v>
      </c>
      <c r="H11" s="42">
        <f t="shared" si="0"/>
        <v>301.02589440000003</v>
      </c>
      <c r="I11" s="29"/>
      <c r="J11" s="43">
        <f t="shared" si="7"/>
        <v>8</v>
      </c>
      <c r="K11" s="44">
        <v>0</v>
      </c>
      <c r="L11" s="45">
        <f t="shared" si="1"/>
        <v>301.02589440000003</v>
      </c>
      <c r="M11" s="46">
        <f t="shared" si="2"/>
        <v>0</v>
      </c>
      <c r="O11" s="43">
        <f t="shared" si="8"/>
        <v>8</v>
      </c>
      <c r="P11" s="44">
        <v>0</v>
      </c>
      <c r="Q11" s="45">
        <f t="shared" si="9"/>
        <v>301.02589440000003</v>
      </c>
      <c r="R11" s="46">
        <f t="shared" si="3"/>
        <v>0</v>
      </c>
      <c r="T11" s="43">
        <f t="shared" si="10"/>
        <v>8</v>
      </c>
      <c r="U11" s="44">
        <v>0</v>
      </c>
      <c r="V11" s="45">
        <f t="shared" si="11"/>
        <v>301.02589440000003</v>
      </c>
      <c r="W11" s="46">
        <f t="shared" si="4"/>
        <v>0</v>
      </c>
    </row>
    <row r="12" spans="1:23" x14ac:dyDescent="0.25">
      <c r="A12" s="38">
        <f t="shared" si="5"/>
        <v>5040</v>
      </c>
      <c r="B12" s="39">
        <v>9</v>
      </c>
      <c r="C12" s="40">
        <v>2.2200000000000002</v>
      </c>
      <c r="D12" s="41">
        <f t="shared" si="13"/>
        <v>1.4</v>
      </c>
      <c r="E12" s="41">
        <f t="shared" si="12"/>
        <v>1.1000000000000001</v>
      </c>
      <c r="F12" s="41">
        <f t="shared" si="12"/>
        <v>1.6</v>
      </c>
      <c r="G12" s="40">
        <f t="shared" si="6"/>
        <v>27.569203200000004</v>
      </c>
      <c r="H12" s="42">
        <f t="shared" si="0"/>
        <v>330.83043840000005</v>
      </c>
      <c r="I12" s="29"/>
      <c r="J12" s="43">
        <f t="shared" si="7"/>
        <v>9</v>
      </c>
      <c r="K12" s="44">
        <v>0</v>
      </c>
      <c r="L12" s="45">
        <f t="shared" si="1"/>
        <v>330.83043840000005</v>
      </c>
      <c r="M12" s="46">
        <f t="shared" si="2"/>
        <v>0</v>
      </c>
      <c r="O12" s="43">
        <f t="shared" si="8"/>
        <v>9</v>
      </c>
      <c r="P12" s="44">
        <v>0</v>
      </c>
      <c r="Q12" s="45">
        <f t="shared" si="9"/>
        <v>330.83043840000005</v>
      </c>
      <c r="R12" s="46">
        <f t="shared" si="3"/>
        <v>0</v>
      </c>
      <c r="T12" s="43">
        <f t="shared" si="10"/>
        <v>9</v>
      </c>
      <c r="U12" s="44">
        <v>0</v>
      </c>
      <c r="V12" s="45">
        <f t="shared" si="11"/>
        <v>330.83043840000005</v>
      </c>
      <c r="W12" s="46">
        <f t="shared" si="4"/>
        <v>0</v>
      </c>
    </row>
    <row r="13" spans="1:23" x14ac:dyDescent="0.25">
      <c r="A13" s="38">
        <f>A12</f>
        <v>5040</v>
      </c>
      <c r="B13" s="39">
        <v>10</v>
      </c>
      <c r="C13" s="40">
        <v>2.44</v>
      </c>
      <c r="D13" s="41">
        <f>D12</f>
        <v>1.4</v>
      </c>
      <c r="E13" s="41">
        <f>E12</f>
        <v>1.1000000000000001</v>
      </c>
      <c r="F13" s="41">
        <f>F12</f>
        <v>1.6</v>
      </c>
      <c r="G13" s="40">
        <f t="shared" si="6"/>
        <v>30.301286400000002</v>
      </c>
      <c r="H13" s="42">
        <f t="shared" si="0"/>
        <v>363.6154368</v>
      </c>
      <c r="I13" s="29"/>
      <c r="J13" s="43">
        <f>1+J12</f>
        <v>10</v>
      </c>
      <c r="K13" s="44">
        <v>0</v>
      </c>
      <c r="L13" s="45">
        <f t="shared" si="1"/>
        <v>363.6154368</v>
      </c>
      <c r="M13" s="46">
        <f t="shared" si="2"/>
        <v>0</v>
      </c>
      <c r="O13" s="43">
        <f>1+O12</f>
        <v>10</v>
      </c>
      <c r="P13" s="44">
        <v>0</v>
      </c>
      <c r="Q13" s="45">
        <f t="shared" si="9"/>
        <v>363.6154368</v>
      </c>
      <c r="R13" s="46">
        <f t="shared" si="3"/>
        <v>0</v>
      </c>
      <c r="T13" s="43">
        <f>1+T12</f>
        <v>10</v>
      </c>
      <c r="U13" s="44">
        <v>0</v>
      </c>
      <c r="V13" s="45">
        <f t="shared" si="11"/>
        <v>363.6154368</v>
      </c>
      <c r="W13" s="46">
        <f t="shared" si="4"/>
        <v>0</v>
      </c>
    </row>
    <row r="14" spans="1:23" x14ac:dyDescent="0.25">
      <c r="A14" s="38">
        <f t="shared" si="5"/>
        <v>5040</v>
      </c>
      <c r="B14" s="39">
        <v>11</v>
      </c>
      <c r="C14" s="40">
        <v>2.68</v>
      </c>
      <c r="D14" s="41">
        <f t="shared" si="13"/>
        <v>1.4</v>
      </c>
      <c r="E14" s="41">
        <f t="shared" si="12"/>
        <v>1.1000000000000001</v>
      </c>
      <c r="F14" s="41">
        <f t="shared" si="12"/>
        <v>1.6</v>
      </c>
      <c r="G14" s="40">
        <f t="shared" si="6"/>
        <v>33.281740800000001</v>
      </c>
      <c r="H14" s="42">
        <f t="shared" si="0"/>
        <v>399.38088960000005</v>
      </c>
      <c r="I14" s="29"/>
      <c r="J14" s="43">
        <f t="shared" si="7"/>
        <v>11</v>
      </c>
      <c r="K14" s="44">
        <v>0</v>
      </c>
      <c r="L14" s="45">
        <f t="shared" si="1"/>
        <v>399.38088960000005</v>
      </c>
      <c r="M14" s="46">
        <f t="shared" si="2"/>
        <v>0</v>
      </c>
      <c r="O14" s="43">
        <f t="shared" si="8"/>
        <v>11</v>
      </c>
      <c r="P14" s="44">
        <v>0</v>
      </c>
      <c r="Q14" s="45">
        <f t="shared" si="9"/>
        <v>399.38088960000005</v>
      </c>
      <c r="R14" s="46">
        <f t="shared" si="3"/>
        <v>0</v>
      </c>
      <c r="T14" s="43">
        <f t="shared" si="10"/>
        <v>11</v>
      </c>
      <c r="U14" s="44">
        <v>0</v>
      </c>
      <c r="V14" s="45">
        <f t="shared" si="11"/>
        <v>399.38088960000005</v>
      </c>
      <c r="W14" s="46">
        <f t="shared" si="4"/>
        <v>0</v>
      </c>
    </row>
    <row r="15" spans="1:23" x14ac:dyDescent="0.25">
      <c r="A15" s="38">
        <f t="shared" si="5"/>
        <v>5040</v>
      </c>
      <c r="B15" s="39">
        <v>12</v>
      </c>
      <c r="C15" s="40">
        <v>2.89</v>
      </c>
      <c r="D15" s="41">
        <f t="shared" si="13"/>
        <v>1.4</v>
      </c>
      <c r="E15" s="41">
        <f t="shared" si="12"/>
        <v>1.1000000000000001</v>
      </c>
      <c r="F15" s="41">
        <f t="shared" si="12"/>
        <v>1.6</v>
      </c>
      <c r="G15" s="40">
        <f t="shared" si="6"/>
        <v>35.889638400000003</v>
      </c>
      <c r="H15" s="42">
        <f t="shared" si="0"/>
        <v>430.67566080000006</v>
      </c>
      <c r="I15" s="29"/>
      <c r="J15" s="43">
        <f t="shared" si="7"/>
        <v>12</v>
      </c>
      <c r="K15" s="44">
        <v>0</v>
      </c>
      <c r="L15" s="45">
        <f t="shared" si="1"/>
        <v>430.67566080000006</v>
      </c>
      <c r="M15" s="46">
        <f t="shared" si="2"/>
        <v>0</v>
      </c>
      <c r="O15" s="43">
        <f t="shared" si="8"/>
        <v>12</v>
      </c>
      <c r="P15" s="44">
        <v>0</v>
      </c>
      <c r="Q15" s="45">
        <f t="shared" si="9"/>
        <v>430.67566080000006</v>
      </c>
      <c r="R15" s="46">
        <f t="shared" si="3"/>
        <v>0</v>
      </c>
      <c r="T15" s="43">
        <f t="shared" si="10"/>
        <v>12</v>
      </c>
      <c r="U15" s="44">
        <v>0</v>
      </c>
      <c r="V15" s="45">
        <f t="shared" si="11"/>
        <v>430.67566080000006</v>
      </c>
      <c r="W15" s="46">
        <f t="shared" si="4"/>
        <v>0</v>
      </c>
    </row>
    <row r="16" spans="1:23" x14ac:dyDescent="0.25">
      <c r="A16" s="38">
        <f t="shared" si="5"/>
        <v>5040</v>
      </c>
      <c r="B16" s="39">
        <v>13</v>
      </c>
      <c r="C16" s="40">
        <v>3.12</v>
      </c>
      <c r="D16" s="41">
        <f t="shared" si="13"/>
        <v>1.4</v>
      </c>
      <c r="E16" s="41">
        <f t="shared" si="12"/>
        <v>1.1000000000000001</v>
      </c>
      <c r="F16" s="41">
        <f t="shared" si="12"/>
        <v>1.6</v>
      </c>
      <c r="G16" s="40">
        <f t="shared" si="6"/>
        <v>38.745907200000012</v>
      </c>
      <c r="H16" s="42">
        <f t="shared" si="0"/>
        <v>464.95088640000017</v>
      </c>
      <c r="I16" s="29"/>
      <c r="J16" s="43">
        <f t="shared" si="7"/>
        <v>13</v>
      </c>
      <c r="K16" s="44">
        <v>0</v>
      </c>
      <c r="L16" s="45">
        <f t="shared" si="1"/>
        <v>464.95088640000017</v>
      </c>
      <c r="M16" s="46">
        <f t="shared" si="2"/>
        <v>0</v>
      </c>
      <c r="O16" s="43">
        <f t="shared" si="8"/>
        <v>13</v>
      </c>
      <c r="P16" s="44">
        <v>0</v>
      </c>
      <c r="Q16" s="45">
        <f t="shared" si="9"/>
        <v>464.95088640000017</v>
      </c>
      <c r="R16" s="46">
        <f t="shared" si="3"/>
        <v>0</v>
      </c>
      <c r="T16" s="43">
        <f t="shared" si="10"/>
        <v>13</v>
      </c>
      <c r="U16" s="44">
        <v>0</v>
      </c>
      <c r="V16" s="45">
        <f t="shared" si="11"/>
        <v>464.95088640000017</v>
      </c>
      <c r="W16" s="46">
        <f t="shared" si="4"/>
        <v>0</v>
      </c>
    </row>
    <row r="17" spans="1:23" x14ac:dyDescent="0.25">
      <c r="A17" s="38">
        <f t="shared" si="5"/>
        <v>5040</v>
      </c>
      <c r="B17" s="39">
        <v>14</v>
      </c>
      <c r="C17" s="40">
        <v>3.36</v>
      </c>
      <c r="D17" s="41">
        <f t="shared" si="13"/>
        <v>1.4</v>
      </c>
      <c r="E17" s="41">
        <f t="shared" si="12"/>
        <v>1.1000000000000001</v>
      </c>
      <c r="F17" s="41">
        <f t="shared" si="12"/>
        <v>1.6</v>
      </c>
      <c r="G17" s="40">
        <f t="shared" si="6"/>
        <v>41.726361600000004</v>
      </c>
      <c r="H17" s="42">
        <f t="shared" si="0"/>
        <v>500.71633920000005</v>
      </c>
      <c r="I17" s="29"/>
      <c r="J17" s="43">
        <f t="shared" si="7"/>
        <v>14</v>
      </c>
      <c r="K17" s="44">
        <v>0</v>
      </c>
      <c r="L17" s="45">
        <f t="shared" si="1"/>
        <v>500.71633920000005</v>
      </c>
      <c r="M17" s="46">
        <f t="shared" si="2"/>
        <v>0</v>
      </c>
      <c r="O17" s="43">
        <f t="shared" si="8"/>
        <v>14</v>
      </c>
      <c r="P17" s="44">
        <v>0</v>
      </c>
      <c r="Q17" s="45">
        <f t="shared" si="9"/>
        <v>500.71633920000005</v>
      </c>
      <c r="R17" s="46">
        <f t="shared" si="3"/>
        <v>0</v>
      </c>
      <c r="T17" s="43">
        <f t="shared" si="10"/>
        <v>14</v>
      </c>
      <c r="U17" s="44">
        <v>0</v>
      </c>
      <c r="V17" s="45">
        <f t="shared" si="11"/>
        <v>500.71633920000005</v>
      </c>
      <c r="W17" s="46">
        <f t="shared" si="4"/>
        <v>0</v>
      </c>
    </row>
    <row r="18" spans="1:23" x14ac:dyDescent="0.25">
      <c r="A18" s="38">
        <f t="shared" si="5"/>
        <v>5040</v>
      </c>
      <c r="B18" s="39">
        <v>15</v>
      </c>
      <c r="C18" s="40">
        <v>3.62</v>
      </c>
      <c r="D18" s="41">
        <f t="shared" si="13"/>
        <v>1.4</v>
      </c>
      <c r="E18" s="41">
        <f t="shared" si="12"/>
        <v>1.1000000000000001</v>
      </c>
      <c r="F18" s="41">
        <f t="shared" si="12"/>
        <v>1.6</v>
      </c>
      <c r="G18" s="40">
        <f t="shared" si="6"/>
        <v>44.955187199999997</v>
      </c>
      <c r="H18" s="42">
        <f t="shared" si="0"/>
        <v>539.46224639999991</v>
      </c>
      <c r="I18" s="29"/>
      <c r="J18" s="43">
        <f t="shared" si="7"/>
        <v>15</v>
      </c>
      <c r="K18" s="44">
        <v>0</v>
      </c>
      <c r="L18" s="45">
        <f t="shared" si="1"/>
        <v>539.46224639999991</v>
      </c>
      <c r="M18" s="46">
        <f t="shared" si="2"/>
        <v>0</v>
      </c>
      <c r="O18" s="43">
        <f t="shared" si="8"/>
        <v>15</v>
      </c>
      <c r="P18" s="44">
        <v>0</v>
      </c>
      <c r="Q18" s="45">
        <f t="shared" si="9"/>
        <v>539.46224639999991</v>
      </c>
      <c r="R18" s="46">
        <f t="shared" si="3"/>
        <v>0</v>
      </c>
      <c r="T18" s="43">
        <f t="shared" si="10"/>
        <v>15</v>
      </c>
      <c r="U18" s="44">
        <v>0</v>
      </c>
      <c r="V18" s="45">
        <f t="shared" si="11"/>
        <v>539.46224639999991</v>
      </c>
      <c r="W18" s="46">
        <f t="shared" si="4"/>
        <v>0</v>
      </c>
    </row>
    <row r="19" spans="1:23" x14ac:dyDescent="0.25">
      <c r="A19" s="38">
        <f t="shared" si="5"/>
        <v>5040</v>
      </c>
      <c r="B19" s="39">
        <v>16</v>
      </c>
      <c r="C19" s="40">
        <v>3.9</v>
      </c>
      <c r="D19" s="41">
        <f t="shared" si="13"/>
        <v>1.4</v>
      </c>
      <c r="E19" s="41">
        <f t="shared" si="12"/>
        <v>1.1000000000000001</v>
      </c>
      <c r="F19" s="41">
        <f t="shared" si="12"/>
        <v>1.6</v>
      </c>
      <c r="G19" s="40">
        <f t="shared" si="6"/>
        <v>48.432384000000006</v>
      </c>
      <c r="H19" s="42">
        <f t="shared" si="0"/>
        <v>581.18860800000004</v>
      </c>
      <c r="I19" s="29"/>
      <c r="J19" s="43">
        <f t="shared" si="7"/>
        <v>16</v>
      </c>
      <c r="K19" s="44">
        <v>0</v>
      </c>
      <c r="L19" s="45">
        <f t="shared" si="1"/>
        <v>581.18860800000004</v>
      </c>
      <c r="M19" s="46">
        <f t="shared" si="2"/>
        <v>0</v>
      </c>
      <c r="O19" s="43">
        <f t="shared" si="8"/>
        <v>16</v>
      </c>
      <c r="P19" s="44">
        <v>0</v>
      </c>
      <c r="Q19" s="45">
        <f t="shared" si="9"/>
        <v>581.18860800000004</v>
      </c>
      <c r="R19" s="46">
        <f t="shared" si="3"/>
        <v>0</v>
      </c>
      <c r="T19" s="43">
        <f t="shared" si="10"/>
        <v>16</v>
      </c>
      <c r="U19" s="44">
        <v>0</v>
      </c>
      <c r="V19" s="45">
        <f t="shared" si="11"/>
        <v>581.18860800000004</v>
      </c>
      <c r="W19" s="46">
        <f t="shared" si="4"/>
        <v>0</v>
      </c>
    </row>
    <row r="20" spans="1:23" x14ac:dyDescent="0.25">
      <c r="A20" s="38">
        <f t="shared" si="5"/>
        <v>5040</v>
      </c>
      <c r="B20" s="39">
        <v>17</v>
      </c>
      <c r="C20" s="40">
        <v>4.2</v>
      </c>
      <c r="D20" s="41">
        <f t="shared" si="13"/>
        <v>1.4</v>
      </c>
      <c r="E20" s="41">
        <f t="shared" si="12"/>
        <v>1.1000000000000001</v>
      </c>
      <c r="F20" s="41">
        <f t="shared" si="12"/>
        <v>1.6</v>
      </c>
      <c r="G20" s="40">
        <f t="shared" si="6"/>
        <v>52.157952000000002</v>
      </c>
      <c r="H20" s="42">
        <f t="shared" si="0"/>
        <v>625.89542400000005</v>
      </c>
      <c r="I20" s="29"/>
      <c r="J20" s="43">
        <f t="shared" si="7"/>
        <v>17</v>
      </c>
      <c r="K20" s="44">
        <v>0</v>
      </c>
      <c r="L20" s="45">
        <f t="shared" si="1"/>
        <v>625.89542400000005</v>
      </c>
      <c r="M20" s="46">
        <f t="shared" si="2"/>
        <v>0</v>
      </c>
      <c r="O20" s="43">
        <f t="shared" si="8"/>
        <v>17</v>
      </c>
      <c r="P20" s="44">
        <v>0</v>
      </c>
      <c r="Q20" s="45">
        <f t="shared" si="9"/>
        <v>625.89542400000005</v>
      </c>
      <c r="R20" s="46">
        <f t="shared" si="3"/>
        <v>0</v>
      </c>
      <c r="T20" s="43">
        <f t="shared" si="10"/>
        <v>17</v>
      </c>
      <c r="U20" s="44">
        <v>0</v>
      </c>
      <c r="V20" s="45">
        <f t="shared" si="11"/>
        <v>625.89542400000005</v>
      </c>
      <c r="W20" s="46">
        <f t="shared" si="4"/>
        <v>0</v>
      </c>
    </row>
    <row r="21" spans="1:23" x14ac:dyDescent="0.25">
      <c r="A21" s="38">
        <f t="shared" si="5"/>
        <v>5040</v>
      </c>
      <c r="B21" s="39">
        <v>18</v>
      </c>
      <c r="C21" s="40">
        <v>4.5</v>
      </c>
      <c r="D21" s="41">
        <f t="shared" si="13"/>
        <v>1.4</v>
      </c>
      <c r="E21" s="41">
        <f t="shared" si="12"/>
        <v>1.1000000000000001</v>
      </c>
      <c r="F21" s="41">
        <f t="shared" si="12"/>
        <v>1.6</v>
      </c>
      <c r="G21" s="40">
        <f t="shared" si="6"/>
        <v>55.883519999999997</v>
      </c>
      <c r="H21" s="42">
        <f t="shared" si="0"/>
        <v>670.60223999999994</v>
      </c>
      <c r="I21" s="29"/>
      <c r="J21" s="43">
        <f t="shared" si="7"/>
        <v>18</v>
      </c>
      <c r="K21" s="44">
        <v>0</v>
      </c>
      <c r="L21" s="45">
        <f t="shared" si="1"/>
        <v>670.60223999999994</v>
      </c>
      <c r="M21" s="46">
        <f t="shared" si="2"/>
        <v>0</v>
      </c>
      <c r="O21" s="43">
        <f t="shared" si="8"/>
        <v>18</v>
      </c>
      <c r="P21" s="44">
        <v>0</v>
      </c>
      <c r="Q21" s="45">
        <f t="shared" si="9"/>
        <v>670.60223999999994</v>
      </c>
      <c r="R21" s="46">
        <f t="shared" si="3"/>
        <v>0</v>
      </c>
      <c r="T21" s="43">
        <f t="shared" si="10"/>
        <v>18</v>
      </c>
      <c r="U21" s="44">
        <v>0</v>
      </c>
      <c r="V21" s="45">
        <f t="shared" si="11"/>
        <v>670.60223999999994</v>
      </c>
      <c r="W21" s="46">
        <f t="shared" si="4"/>
        <v>0</v>
      </c>
    </row>
    <row r="22" spans="1:23" x14ac:dyDescent="0.25">
      <c r="A22" s="47"/>
      <c r="B22" s="29"/>
      <c r="C22" s="29"/>
      <c r="D22" s="29"/>
      <c r="E22" s="29"/>
      <c r="F22" s="29"/>
      <c r="G22" s="29"/>
      <c r="H22" s="29"/>
      <c r="I22" s="29"/>
      <c r="J22" s="31"/>
      <c r="K22" s="48">
        <f>SUM(K4:K21)</f>
        <v>4</v>
      </c>
      <c r="L22" s="31"/>
      <c r="M22" s="46">
        <f>SUM(M4:M21)</f>
        <v>679.54360320000012</v>
      </c>
      <c r="O22" s="31"/>
      <c r="P22" s="48">
        <f>SUM(P4:P21)</f>
        <v>5</v>
      </c>
      <c r="Q22" s="31"/>
      <c r="R22" s="46">
        <f>SUM(R4:R21)</f>
        <v>1008.1387008</v>
      </c>
      <c r="T22" s="31"/>
      <c r="U22" s="48">
        <f>SUM(U4:U21)</f>
        <v>2.5</v>
      </c>
      <c r="V22" s="31"/>
      <c r="W22" s="46">
        <f>SUM(W4:W21)</f>
        <v>392.24908800000009</v>
      </c>
    </row>
    <row r="23" spans="1:23" ht="15.75" thickBot="1" x14ac:dyDescent="0.3">
      <c r="A23" s="49"/>
      <c r="B23" s="50"/>
      <c r="C23" s="50"/>
      <c r="D23" s="50"/>
      <c r="E23" s="50"/>
      <c r="F23" s="50"/>
      <c r="G23" s="50"/>
      <c r="H23" s="50"/>
      <c r="I23" s="50"/>
      <c r="J23" s="51"/>
      <c r="K23" s="52">
        <f>IF(K22=0,0, (J4*K4+J5*K5+J6*K6+J7*K7+J8*K8+J9*K9+J10*K10+J11*K11+J12*K12+J13*K13+J14*K14+J15*K15+J16*K16+J17*K17+J18*K18+J19*K19+J20*K20+J21*K21)/K22)</f>
        <v>2.25</v>
      </c>
      <c r="L23" s="51"/>
      <c r="M23" s="53"/>
      <c r="O23" s="51"/>
      <c r="P23" s="52">
        <f>IF(P22=0,0, (O4*P4+O5*P5+O6*P6+O7*P7+O8*P8+O9*P9+O10*P10+O11*P11+O12*P12+O13*P13+O14*P14+O15*P15+O16*P16+O17*P17+O18*P18+O19*P19+O20*P20+O21*P21)/P22)</f>
        <v>3.9</v>
      </c>
      <c r="Q23" s="51"/>
      <c r="R23" s="53"/>
      <c r="T23" s="51"/>
      <c r="U23" s="52">
        <f>IF(U22=0,0, (T4*U4+T5*U5+T6*U6+T7*U7+T8*U8+T9*U9+T10*U10+T11*U11+T12*U12+T13*U13+T14*U14+T15*U15+T16*U16+T17*U17+T18*U18+T19*U19+T20*U20+T21*U21)/U22)</f>
        <v>4.5999999999999996</v>
      </c>
      <c r="V23" s="51"/>
      <c r="W23" s="53"/>
    </row>
    <row r="25" spans="1:23" x14ac:dyDescent="0.25">
      <c r="J25" s="54"/>
      <c r="K25" s="54"/>
    </row>
    <row r="27" spans="1:23" x14ac:dyDescent="0.25">
      <c r="C27" s="55"/>
      <c r="D27" s="55"/>
      <c r="E27" s="55"/>
      <c r="F27" s="55"/>
      <c r="G27" s="55"/>
      <c r="H27" s="55"/>
      <c r="I27" s="55"/>
    </row>
    <row r="28" spans="1:23" x14ac:dyDescent="0.25">
      <c r="A28" s="55"/>
      <c r="B28" s="55"/>
      <c r="C28" s="55"/>
      <c r="D28" s="55"/>
      <c r="E28" s="55"/>
      <c r="F28" s="55"/>
      <c r="G28" s="55"/>
      <c r="H28" s="55"/>
      <c r="I28" s="55"/>
    </row>
    <row r="29" spans="1:23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3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23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23" x14ac:dyDescent="0.25">
      <c r="J32" s="55"/>
    </row>
    <row r="33" spans="1:10" x14ac:dyDescent="0.25">
      <c r="J33" s="55"/>
    </row>
    <row r="34" spans="1:10" x14ac:dyDescent="0.25">
      <c r="J34" s="55"/>
    </row>
    <row r="35" spans="1:10" x14ac:dyDescent="0.25">
      <c r="J35" s="55"/>
    </row>
    <row r="36" spans="1:10" x14ac:dyDescent="0.25">
      <c r="J36" s="55"/>
    </row>
    <row r="37" spans="1:10" x14ac:dyDescent="0.25">
      <c r="J37" s="55"/>
    </row>
    <row r="38" spans="1:10" x14ac:dyDescent="0.25">
      <c r="J38" s="55"/>
    </row>
    <row r="39" spans="1:10" x14ac:dyDescent="0.25">
      <c r="J39" s="55"/>
    </row>
    <row r="40" spans="1:10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14" sqref="B14"/>
    </sheetView>
  </sheetViews>
  <sheetFormatPr defaultRowHeight="15" x14ac:dyDescent="0.25"/>
  <cols>
    <col min="1" max="1" width="5.85546875" customWidth="1"/>
    <col min="2" max="2" width="29.42578125" customWidth="1"/>
    <col min="3" max="3" width="29" customWidth="1"/>
  </cols>
  <sheetData>
    <row r="1" spans="1:3" x14ac:dyDescent="0.25">
      <c r="A1" s="320" t="s">
        <v>177</v>
      </c>
      <c r="B1" s="320"/>
      <c r="C1" s="320"/>
    </row>
    <row r="2" spans="1:3" ht="30" x14ac:dyDescent="0.25">
      <c r="A2" s="56" t="s">
        <v>160</v>
      </c>
      <c r="B2" s="57" t="s">
        <v>161</v>
      </c>
      <c r="C2" s="57" t="s">
        <v>162</v>
      </c>
    </row>
    <row r="3" spans="1:3" ht="15" customHeight="1" x14ac:dyDescent="0.25">
      <c r="A3" s="58">
        <v>1</v>
      </c>
      <c r="B3" s="58" t="s">
        <v>163</v>
      </c>
      <c r="C3" s="62">
        <f>C4+C8+C9+C10</f>
        <v>16.209000000000003</v>
      </c>
    </row>
    <row r="4" spans="1:3" ht="18" customHeight="1" x14ac:dyDescent="0.25">
      <c r="A4" s="60" t="s">
        <v>6</v>
      </c>
      <c r="B4" s="60" t="s">
        <v>164</v>
      </c>
      <c r="C4" s="61">
        <f>C5+C6+C7</f>
        <v>12.205</v>
      </c>
    </row>
    <row r="5" spans="1:3" x14ac:dyDescent="0.25">
      <c r="A5" s="60" t="s">
        <v>165</v>
      </c>
      <c r="B5" s="60" t="s">
        <v>166</v>
      </c>
      <c r="C5" s="2">
        <v>12.205</v>
      </c>
    </row>
    <row r="6" spans="1:3" x14ac:dyDescent="0.25">
      <c r="A6" s="60" t="s">
        <v>167</v>
      </c>
      <c r="B6" s="60" t="s">
        <v>168</v>
      </c>
      <c r="C6" s="61">
        <v>0</v>
      </c>
    </row>
    <row r="7" spans="1:3" ht="30" x14ac:dyDescent="0.25">
      <c r="A7" s="60" t="s">
        <v>169</v>
      </c>
      <c r="B7" s="60" t="s">
        <v>170</v>
      </c>
      <c r="C7" s="61">
        <v>0</v>
      </c>
    </row>
    <row r="8" spans="1:3" x14ac:dyDescent="0.25">
      <c r="A8" s="60" t="s">
        <v>8</v>
      </c>
      <c r="B8" s="60" t="s">
        <v>171</v>
      </c>
      <c r="C8" s="2">
        <v>0.874</v>
      </c>
    </row>
    <row r="9" spans="1:3" x14ac:dyDescent="0.25">
      <c r="A9" s="60" t="s">
        <v>27</v>
      </c>
      <c r="B9" s="60" t="s">
        <v>172</v>
      </c>
      <c r="C9" s="2">
        <v>3.0939999999999999</v>
      </c>
    </row>
    <row r="10" spans="1:3" x14ac:dyDescent="0.25">
      <c r="A10" s="60" t="s">
        <v>29</v>
      </c>
      <c r="B10" s="60" t="s">
        <v>173</v>
      </c>
      <c r="C10" s="2">
        <v>3.5999999999999997E-2</v>
      </c>
    </row>
    <row r="11" spans="1:3" x14ac:dyDescent="0.25">
      <c r="A11" s="59"/>
      <c r="B11" s="59" t="s">
        <v>174</v>
      </c>
      <c r="C11" s="63">
        <f>C3</f>
        <v>16.209000000000003</v>
      </c>
    </row>
    <row r="12" spans="1:3" x14ac:dyDescent="0.25">
      <c r="A12" s="59">
        <v>2</v>
      </c>
      <c r="B12" s="59" t="s">
        <v>175</v>
      </c>
      <c r="C12" s="59">
        <f>C13+C17+C18+C19</f>
        <v>29.202000000000002</v>
      </c>
    </row>
    <row r="13" spans="1:3" x14ac:dyDescent="0.25">
      <c r="A13" s="60" t="s">
        <v>6</v>
      </c>
      <c r="B13" s="60" t="s">
        <v>164</v>
      </c>
      <c r="C13" s="2">
        <f>C14+C15+C16</f>
        <v>24.509</v>
      </c>
    </row>
    <row r="14" spans="1:3" x14ac:dyDescent="0.25">
      <c r="A14" s="60" t="s">
        <v>165</v>
      </c>
      <c r="B14" s="60" t="s">
        <v>166</v>
      </c>
      <c r="C14" s="2">
        <v>20.285</v>
      </c>
    </row>
    <row r="15" spans="1:3" x14ac:dyDescent="0.25">
      <c r="A15" s="60" t="s">
        <v>167</v>
      </c>
      <c r="B15" s="60" t="s">
        <v>168</v>
      </c>
      <c r="C15" s="2">
        <v>0.98899999999999999</v>
      </c>
    </row>
    <row r="16" spans="1:3" ht="30" x14ac:dyDescent="0.25">
      <c r="A16" s="60" t="s">
        <v>169</v>
      </c>
      <c r="B16" s="60" t="s">
        <v>170</v>
      </c>
      <c r="C16" s="2">
        <v>3.2349999999999999</v>
      </c>
    </row>
    <row r="17" spans="1:4" x14ac:dyDescent="0.25">
      <c r="A17" s="60" t="s">
        <v>8</v>
      </c>
      <c r="B17" s="60" t="s">
        <v>171</v>
      </c>
      <c r="C17" s="2">
        <v>0.56599999999999995</v>
      </c>
    </row>
    <row r="18" spans="1:4" x14ac:dyDescent="0.25">
      <c r="A18" s="60" t="s">
        <v>27</v>
      </c>
      <c r="B18" s="60" t="s">
        <v>172</v>
      </c>
      <c r="C18" s="2">
        <v>3.8029999999999999</v>
      </c>
    </row>
    <row r="19" spans="1:4" x14ac:dyDescent="0.25">
      <c r="A19" s="60" t="s">
        <v>29</v>
      </c>
      <c r="B19" s="60" t="s">
        <v>173</v>
      </c>
      <c r="C19" s="2">
        <v>0.32400000000000001</v>
      </c>
    </row>
    <row r="20" spans="1:4" x14ac:dyDescent="0.25">
      <c r="A20" s="64"/>
      <c r="B20" s="64" t="s">
        <v>174</v>
      </c>
      <c r="C20" s="59">
        <f>C12</f>
        <v>29.202000000000002</v>
      </c>
    </row>
    <row r="21" spans="1:4" ht="30" customHeight="1" x14ac:dyDescent="0.25">
      <c r="A21" s="318" t="s">
        <v>176</v>
      </c>
      <c r="B21" s="319"/>
      <c r="C21" s="61">
        <f>C29</f>
        <v>45.410999999999994</v>
      </c>
    </row>
    <row r="22" spans="1:4" x14ac:dyDescent="0.25">
      <c r="A22" s="60" t="s">
        <v>6</v>
      </c>
      <c r="B22" s="60" t="s">
        <v>164</v>
      </c>
      <c r="C22" s="61">
        <f t="shared" ref="C22:C28" si="0">C4+C13</f>
        <v>36.713999999999999</v>
      </c>
      <c r="D22" s="25"/>
    </row>
    <row r="23" spans="1:4" x14ac:dyDescent="0.25">
      <c r="A23" s="60" t="s">
        <v>165</v>
      </c>
      <c r="B23" s="60" t="s">
        <v>166</v>
      </c>
      <c r="C23" s="2">
        <f t="shared" si="0"/>
        <v>32.49</v>
      </c>
    </row>
    <row r="24" spans="1:4" x14ac:dyDescent="0.25">
      <c r="A24" s="60" t="s">
        <v>167</v>
      </c>
      <c r="B24" s="60" t="s">
        <v>168</v>
      </c>
      <c r="C24" s="61">
        <f t="shared" si="0"/>
        <v>0.98899999999999999</v>
      </c>
    </row>
    <row r="25" spans="1:4" ht="30" x14ac:dyDescent="0.25">
      <c r="A25" s="60" t="s">
        <v>169</v>
      </c>
      <c r="B25" s="60" t="s">
        <v>170</v>
      </c>
      <c r="C25" s="61">
        <f t="shared" si="0"/>
        <v>3.2349999999999999</v>
      </c>
    </row>
    <row r="26" spans="1:4" x14ac:dyDescent="0.25">
      <c r="A26" s="60" t="s">
        <v>8</v>
      </c>
      <c r="B26" s="60" t="s">
        <v>171</v>
      </c>
      <c r="C26" s="2">
        <f t="shared" si="0"/>
        <v>1.44</v>
      </c>
    </row>
    <row r="27" spans="1:4" x14ac:dyDescent="0.25">
      <c r="A27" s="60" t="s">
        <v>27</v>
      </c>
      <c r="B27" s="60" t="s">
        <v>172</v>
      </c>
      <c r="C27" s="2">
        <f t="shared" si="0"/>
        <v>6.8970000000000002</v>
      </c>
    </row>
    <row r="28" spans="1:4" x14ac:dyDescent="0.25">
      <c r="A28" s="60" t="s">
        <v>29</v>
      </c>
      <c r="B28" s="60" t="s">
        <v>173</v>
      </c>
      <c r="C28" s="2">
        <f t="shared" si="0"/>
        <v>0.36</v>
      </c>
    </row>
    <row r="29" spans="1:4" x14ac:dyDescent="0.25">
      <c r="A29" s="60"/>
      <c r="B29" s="64" t="s">
        <v>174</v>
      </c>
      <c r="C29" s="63">
        <f>C22+C26+C27+C28</f>
        <v>45.410999999999994</v>
      </c>
      <c r="D29" s="25"/>
    </row>
    <row r="30" spans="1:4" hidden="1" x14ac:dyDescent="0.25">
      <c r="A30" s="2"/>
      <c r="B30" s="2"/>
      <c r="C30" s="2"/>
    </row>
    <row r="31" spans="1:4" hidden="1" x14ac:dyDescent="0.25">
      <c r="A31" s="2"/>
      <c r="B31" s="2"/>
      <c r="C31" s="2"/>
    </row>
  </sheetData>
  <mergeCells count="2">
    <mergeCell ref="A21:B21"/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4" sqref="A4:E4"/>
    </sheetView>
  </sheetViews>
  <sheetFormatPr defaultColWidth="39.85546875" defaultRowHeight="15.75" outlineLevelRow="1" x14ac:dyDescent="0.25"/>
  <cols>
    <col min="1" max="1" width="6.140625" style="180" customWidth="1"/>
    <col min="2" max="2" width="36.5703125" style="180" customWidth="1"/>
    <col min="3" max="3" width="14" style="180" customWidth="1"/>
    <col min="4" max="4" width="14.42578125" style="180" customWidth="1"/>
    <col min="5" max="5" width="15" style="180" customWidth="1"/>
    <col min="6" max="256" width="39.85546875" style="180"/>
    <col min="257" max="257" width="6.140625" style="180" customWidth="1"/>
    <col min="258" max="258" width="36.5703125" style="180" customWidth="1"/>
    <col min="259" max="259" width="14" style="180" customWidth="1"/>
    <col min="260" max="260" width="14.42578125" style="180" customWidth="1"/>
    <col min="261" max="261" width="15" style="180" customWidth="1"/>
    <col min="262" max="512" width="39.85546875" style="180"/>
    <col min="513" max="513" width="6.140625" style="180" customWidth="1"/>
    <col min="514" max="514" width="36.5703125" style="180" customWidth="1"/>
    <col min="515" max="515" width="14" style="180" customWidth="1"/>
    <col min="516" max="516" width="14.42578125" style="180" customWidth="1"/>
    <col min="517" max="517" width="15" style="180" customWidth="1"/>
    <col min="518" max="768" width="39.85546875" style="180"/>
    <col min="769" max="769" width="6.140625" style="180" customWidth="1"/>
    <col min="770" max="770" width="36.5703125" style="180" customWidth="1"/>
    <col min="771" max="771" width="14" style="180" customWidth="1"/>
    <col min="772" max="772" width="14.42578125" style="180" customWidth="1"/>
    <col min="773" max="773" width="15" style="180" customWidth="1"/>
    <col min="774" max="1024" width="39.85546875" style="180"/>
    <col min="1025" max="1025" width="6.140625" style="180" customWidth="1"/>
    <col min="1026" max="1026" width="36.5703125" style="180" customWidth="1"/>
    <col min="1027" max="1027" width="14" style="180" customWidth="1"/>
    <col min="1028" max="1028" width="14.42578125" style="180" customWidth="1"/>
    <col min="1029" max="1029" width="15" style="180" customWidth="1"/>
    <col min="1030" max="1280" width="39.85546875" style="180"/>
    <col min="1281" max="1281" width="6.140625" style="180" customWidth="1"/>
    <col min="1282" max="1282" width="36.5703125" style="180" customWidth="1"/>
    <col min="1283" max="1283" width="14" style="180" customWidth="1"/>
    <col min="1284" max="1284" width="14.42578125" style="180" customWidth="1"/>
    <col min="1285" max="1285" width="15" style="180" customWidth="1"/>
    <col min="1286" max="1536" width="39.85546875" style="180"/>
    <col min="1537" max="1537" width="6.140625" style="180" customWidth="1"/>
    <col min="1538" max="1538" width="36.5703125" style="180" customWidth="1"/>
    <col min="1539" max="1539" width="14" style="180" customWidth="1"/>
    <col min="1540" max="1540" width="14.42578125" style="180" customWidth="1"/>
    <col min="1541" max="1541" width="15" style="180" customWidth="1"/>
    <col min="1542" max="1792" width="39.85546875" style="180"/>
    <col min="1793" max="1793" width="6.140625" style="180" customWidth="1"/>
    <col min="1794" max="1794" width="36.5703125" style="180" customWidth="1"/>
    <col min="1795" max="1795" width="14" style="180" customWidth="1"/>
    <col min="1796" max="1796" width="14.42578125" style="180" customWidth="1"/>
    <col min="1797" max="1797" width="15" style="180" customWidth="1"/>
    <col min="1798" max="2048" width="39.85546875" style="180"/>
    <col min="2049" max="2049" width="6.140625" style="180" customWidth="1"/>
    <col min="2050" max="2050" width="36.5703125" style="180" customWidth="1"/>
    <col min="2051" max="2051" width="14" style="180" customWidth="1"/>
    <col min="2052" max="2052" width="14.42578125" style="180" customWidth="1"/>
    <col min="2053" max="2053" width="15" style="180" customWidth="1"/>
    <col min="2054" max="2304" width="39.85546875" style="180"/>
    <col min="2305" max="2305" width="6.140625" style="180" customWidth="1"/>
    <col min="2306" max="2306" width="36.5703125" style="180" customWidth="1"/>
    <col min="2307" max="2307" width="14" style="180" customWidth="1"/>
    <col min="2308" max="2308" width="14.42578125" style="180" customWidth="1"/>
    <col min="2309" max="2309" width="15" style="180" customWidth="1"/>
    <col min="2310" max="2560" width="39.85546875" style="180"/>
    <col min="2561" max="2561" width="6.140625" style="180" customWidth="1"/>
    <col min="2562" max="2562" width="36.5703125" style="180" customWidth="1"/>
    <col min="2563" max="2563" width="14" style="180" customWidth="1"/>
    <col min="2564" max="2564" width="14.42578125" style="180" customWidth="1"/>
    <col min="2565" max="2565" width="15" style="180" customWidth="1"/>
    <col min="2566" max="2816" width="39.85546875" style="180"/>
    <col min="2817" max="2817" width="6.140625" style="180" customWidth="1"/>
    <col min="2818" max="2818" width="36.5703125" style="180" customWidth="1"/>
    <col min="2819" max="2819" width="14" style="180" customWidth="1"/>
    <col min="2820" max="2820" width="14.42578125" style="180" customWidth="1"/>
    <col min="2821" max="2821" width="15" style="180" customWidth="1"/>
    <col min="2822" max="3072" width="39.85546875" style="180"/>
    <col min="3073" max="3073" width="6.140625" style="180" customWidth="1"/>
    <col min="3074" max="3074" width="36.5703125" style="180" customWidth="1"/>
    <col min="3075" max="3075" width="14" style="180" customWidth="1"/>
    <col min="3076" max="3076" width="14.42578125" style="180" customWidth="1"/>
    <col min="3077" max="3077" width="15" style="180" customWidth="1"/>
    <col min="3078" max="3328" width="39.85546875" style="180"/>
    <col min="3329" max="3329" width="6.140625" style="180" customWidth="1"/>
    <col min="3330" max="3330" width="36.5703125" style="180" customWidth="1"/>
    <col min="3331" max="3331" width="14" style="180" customWidth="1"/>
    <col min="3332" max="3332" width="14.42578125" style="180" customWidth="1"/>
    <col min="3333" max="3333" width="15" style="180" customWidth="1"/>
    <col min="3334" max="3584" width="39.85546875" style="180"/>
    <col min="3585" max="3585" width="6.140625" style="180" customWidth="1"/>
    <col min="3586" max="3586" width="36.5703125" style="180" customWidth="1"/>
    <col min="3587" max="3587" width="14" style="180" customWidth="1"/>
    <col min="3588" max="3588" width="14.42578125" style="180" customWidth="1"/>
    <col min="3589" max="3589" width="15" style="180" customWidth="1"/>
    <col min="3590" max="3840" width="39.85546875" style="180"/>
    <col min="3841" max="3841" width="6.140625" style="180" customWidth="1"/>
    <col min="3842" max="3842" width="36.5703125" style="180" customWidth="1"/>
    <col min="3843" max="3843" width="14" style="180" customWidth="1"/>
    <col min="3844" max="3844" width="14.42578125" style="180" customWidth="1"/>
    <col min="3845" max="3845" width="15" style="180" customWidth="1"/>
    <col min="3846" max="4096" width="39.85546875" style="180"/>
    <col min="4097" max="4097" width="6.140625" style="180" customWidth="1"/>
    <col min="4098" max="4098" width="36.5703125" style="180" customWidth="1"/>
    <col min="4099" max="4099" width="14" style="180" customWidth="1"/>
    <col min="4100" max="4100" width="14.42578125" style="180" customWidth="1"/>
    <col min="4101" max="4101" width="15" style="180" customWidth="1"/>
    <col min="4102" max="4352" width="39.85546875" style="180"/>
    <col min="4353" max="4353" width="6.140625" style="180" customWidth="1"/>
    <col min="4354" max="4354" width="36.5703125" style="180" customWidth="1"/>
    <col min="4355" max="4355" width="14" style="180" customWidth="1"/>
    <col min="4356" max="4356" width="14.42578125" style="180" customWidth="1"/>
    <col min="4357" max="4357" width="15" style="180" customWidth="1"/>
    <col min="4358" max="4608" width="39.85546875" style="180"/>
    <col min="4609" max="4609" width="6.140625" style="180" customWidth="1"/>
    <col min="4610" max="4610" width="36.5703125" style="180" customWidth="1"/>
    <col min="4611" max="4611" width="14" style="180" customWidth="1"/>
    <col min="4612" max="4612" width="14.42578125" style="180" customWidth="1"/>
    <col min="4613" max="4613" width="15" style="180" customWidth="1"/>
    <col min="4614" max="4864" width="39.85546875" style="180"/>
    <col min="4865" max="4865" width="6.140625" style="180" customWidth="1"/>
    <col min="4866" max="4866" width="36.5703125" style="180" customWidth="1"/>
    <col min="4867" max="4867" width="14" style="180" customWidth="1"/>
    <col min="4868" max="4868" width="14.42578125" style="180" customWidth="1"/>
    <col min="4869" max="4869" width="15" style="180" customWidth="1"/>
    <col min="4870" max="5120" width="39.85546875" style="180"/>
    <col min="5121" max="5121" width="6.140625" style="180" customWidth="1"/>
    <col min="5122" max="5122" width="36.5703125" style="180" customWidth="1"/>
    <col min="5123" max="5123" width="14" style="180" customWidth="1"/>
    <col min="5124" max="5124" width="14.42578125" style="180" customWidth="1"/>
    <col min="5125" max="5125" width="15" style="180" customWidth="1"/>
    <col min="5126" max="5376" width="39.85546875" style="180"/>
    <col min="5377" max="5377" width="6.140625" style="180" customWidth="1"/>
    <col min="5378" max="5378" width="36.5703125" style="180" customWidth="1"/>
    <col min="5379" max="5379" width="14" style="180" customWidth="1"/>
    <col min="5380" max="5380" width="14.42578125" style="180" customWidth="1"/>
    <col min="5381" max="5381" width="15" style="180" customWidth="1"/>
    <col min="5382" max="5632" width="39.85546875" style="180"/>
    <col min="5633" max="5633" width="6.140625" style="180" customWidth="1"/>
    <col min="5634" max="5634" width="36.5703125" style="180" customWidth="1"/>
    <col min="5635" max="5635" width="14" style="180" customWidth="1"/>
    <col min="5636" max="5636" width="14.42578125" style="180" customWidth="1"/>
    <col min="5637" max="5637" width="15" style="180" customWidth="1"/>
    <col min="5638" max="5888" width="39.85546875" style="180"/>
    <col min="5889" max="5889" width="6.140625" style="180" customWidth="1"/>
    <col min="5890" max="5890" width="36.5703125" style="180" customWidth="1"/>
    <col min="5891" max="5891" width="14" style="180" customWidth="1"/>
    <col min="5892" max="5892" width="14.42578125" style="180" customWidth="1"/>
    <col min="5893" max="5893" width="15" style="180" customWidth="1"/>
    <col min="5894" max="6144" width="39.85546875" style="180"/>
    <col min="6145" max="6145" width="6.140625" style="180" customWidth="1"/>
    <col min="6146" max="6146" width="36.5703125" style="180" customWidth="1"/>
    <col min="6147" max="6147" width="14" style="180" customWidth="1"/>
    <col min="6148" max="6148" width="14.42578125" style="180" customWidth="1"/>
    <col min="6149" max="6149" width="15" style="180" customWidth="1"/>
    <col min="6150" max="6400" width="39.85546875" style="180"/>
    <col min="6401" max="6401" width="6.140625" style="180" customWidth="1"/>
    <col min="6402" max="6402" width="36.5703125" style="180" customWidth="1"/>
    <col min="6403" max="6403" width="14" style="180" customWidth="1"/>
    <col min="6404" max="6404" width="14.42578125" style="180" customWidth="1"/>
    <col min="6405" max="6405" width="15" style="180" customWidth="1"/>
    <col min="6406" max="6656" width="39.85546875" style="180"/>
    <col min="6657" max="6657" width="6.140625" style="180" customWidth="1"/>
    <col min="6658" max="6658" width="36.5703125" style="180" customWidth="1"/>
    <col min="6659" max="6659" width="14" style="180" customWidth="1"/>
    <col min="6660" max="6660" width="14.42578125" style="180" customWidth="1"/>
    <col min="6661" max="6661" width="15" style="180" customWidth="1"/>
    <col min="6662" max="6912" width="39.85546875" style="180"/>
    <col min="6913" max="6913" width="6.140625" style="180" customWidth="1"/>
    <col min="6914" max="6914" width="36.5703125" style="180" customWidth="1"/>
    <col min="6915" max="6915" width="14" style="180" customWidth="1"/>
    <col min="6916" max="6916" width="14.42578125" style="180" customWidth="1"/>
    <col min="6917" max="6917" width="15" style="180" customWidth="1"/>
    <col min="6918" max="7168" width="39.85546875" style="180"/>
    <col min="7169" max="7169" width="6.140625" style="180" customWidth="1"/>
    <col min="7170" max="7170" width="36.5703125" style="180" customWidth="1"/>
    <col min="7171" max="7171" width="14" style="180" customWidth="1"/>
    <col min="7172" max="7172" width="14.42578125" style="180" customWidth="1"/>
    <col min="7173" max="7173" width="15" style="180" customWidth="1"/>
    <col min="7174" max="7424" width="39.85546875" style="180"/>
    <col min="7425" max="7425" width="6.140625" style="180" customWidth="1"/>
    <col min="7426" max="7426" width="36.5703125" style="180" customWidth="1"/>
    <col min="7427" max="7427" width="14" style="180" customWidth="1"/>
    <col min="7428" max="7428" width="14.42578125" style="180" customWidth="1"/>
    <col min="7429" max="7429" width="15" style="180" customWidth="1"/>
    <col min="7430" max="7680" width="39.85546875" style="180"/>
    <col min="7681" max="7681" width="6.140625" style="180" customWidth="1"/>
    <col min="7682" max="7682" width="36.5703125" style="180" customWidth="1"/>
    <col min="7683" max="7683" width="14" style="180" customWidth="1"/>
    <col min="7684" max="7684" width="14.42578125" style="180" customWidth="1"/>
    <col min="7685" max="7685" width="15" style="180" customWidth="1"/>
    <col min="7686" max="7936" width="39.85546875" style="180"/>
    <col min="7937" max="7937" width="6.140625" style="180" customWidth="1"/>
    <col min="7938" max="7938" width="36.5703125" style="180" customWidth="1"/>
    <col min="7939" max="7939" width="14" style="180" customWidth="1"/>
    <col min="7940" max="7940" width="14.42578125" style="180" customWidth="1"/>
    <col min="7941" max="7941" width="15" style="180" customWidth="1"/>
    <col min="7942" max="8192" width="39.85546875" style="180"/>
    <col min="8193" max="8193" width="6.140625" style="180" customWidth="1"/>
    <col min="8194" max="8194" width="36.5703125" style="180" customWidth="1"/>
    <col min="8195" max="8195" width="14" style="180" customWidth="1"/>
    <col min="8196" max="8196" width="14.42578125" style="180" customWidth="1"/>
    <col min="8197" max="8197" width="15" style="180" customWidth="1"/>
    <col min="8198" max="8448" width="39.85546875" style="180"/>
    <col min="8449" max="8449" width="6.140625" style="180" customWidth="1"/>
    <col min="8450" max="8450" width="36.5703125" style="180" customWidth="1"/>
    <col min="8451" max="8451" width="14" style="180" customWidth="1"/>
    <col min="8452" max="8452" width="14.42578125" style="180" customWidth="1"/>
    <col min="8453" max="8453" width="15" style="180" customWidth="1"/>
    <col min="8454" max="8704" width="39.85546875" style="180"/>
    <col min="8705" max="8705" width="6.140625" style="180" customWidth="1"/>
    <col min="8706" max="8706" width="36.5703125" style="180" customWidth="1"/>
    <col min="8707" max="8707" width="14" style="180" customWidth="1"/>
    <col min="8708" max="8708" width="14.42578125" style="180" customWidth="1"/>
    <col min="8709" max="8709" width="15" style="180" customWidth="1"/>
    <col min="8710" max="8960" width="39.85546875" style="180"/>
    <col min="8961" max="8961" width="6.140625" style="180" customWidth="1"/>
    <col min="8962" max="8962" width="36.5703125" style="180" customWidth="1"/>
    <col min="8963" max="8963" width="14" style="180" customWidth="1"/>
    <col min="8964" max="8964" width="14.42578125" style="180" customWidth="1"/>
    <col min="8965" max="8965" width="15" style="180" customWidth="1"/>
    <col min="8966" max="9216" width="39.85546875" style="180"/>
    <col min="9217" max="9217" width="6.140625" style="180" customWidth="1"/>
    <col min="9218" max="9218" width="36.5703125" style="180" customWidth="1"/>
    <col min="9219" max="9219" width="14" style="180" customWidth="1"/>
    <col min="9220" max="9220" width="14.42578125" style="180" customWidth="1"/>
    <col min="9221" max="9221" width="15" style="180" customWidth="1"/>
    <col min="9222" max="9472" width="39.85546875" style="180"/>
    <col min="9473" max="9473" width="6.140625" style="180" customWidth="1"/>
    <col min="9474" max="9474" width="36.5703125" style="180" customWidth="1"/>
    <col min="9475" max="9475" width="14" style="180" customWidth="1"/>
    <col min="9476" max="9476" width="14.42578125" style="180" customWidth="1"/>
    <col min="9477" max="9477" width="15" style="180" customWidth="1"/>
    <col min="9478" max="9728" width="39.85546875" style="180"/>
    <col min="9729" max="9729" width="6.140625" style="180" customWidth="1"/>
    <col min="9730" max="9730" width="36.5703125" style="180" customWidth="1"/>
    <col min="9731" max="9731" width="14" style="180" customWidth="1"/>
    <col min="9732" max="9732" width="14.42578125" style="180" customWidth="1"/>
    <col min="9733" max="9733" width="15" style="180" customWidth="1"/>
    <col min="9734" max="9984" width="39.85546875" style="180"/>
    <col min="9985" max="9985" width="6.140625" style="180" customWidth="1"/>
    <col min="9986" max="9986" width="36.5703125" style="180" customWidth="1"/>
    <col min="9987" max="9987" width="14" style="180" customWidth="1"/>
    <col min="9988" max="9988" width="14.42578125" style="180" customWidth="1"/>
    <col min="9989" max="9989" width="15" style="180" customWidth="1"/>
    <col min="9990" max="10240" width="39.85546875" style="180"/>
    <col min="10241" max="10241" width="6.140625" style="180" customWidth="1"/>
    <col min="10242" max="10242" width="36.5703125" style="180" customWidth="1"/>
    <col min="10243" max="10243" width="14" style="180" customWidth="1"/>
    <col min="10244" max="10244" width="14.42578125" style="180" customWidth="1"/>
    <col min="10245" max="10245" width="15" style="180" customWidth="1"/>
    <col min="10246" max="10496" width="39.85546875" style="180"/>
    <col min="10497" max="10497" width="6.140625" style="180" customWidth="1"/>
    <col min="10498" max="10498" width="36.5703125" style="180" customWidth="1"/>
    <col min="10499" max="10499" width="14" style="180" customWidth="1"/>
    <col min="10500" max="10500" width="14.42578125" style="180" customWidth="1"/>
    <col min="10501" max="10501" width="15" style="180" customWidth="1"/>
    <col min="10502" max="10752" width="39.85546875" style="180"/>
    <col min="10753" max="10753" width="6.140625" style="180" customWidth="1"/>
    <col min="10754" max="10754" width="36.5703125" style="180" customWidth="1"/>
    <col min="10755" max="10755" width="14" style="180" customWidth="1"/>
    <col min="10756" max="10756" width="14.42578125" style="180" customWidth="1"/>
    <col min="10757" max="10757" width="15" style="180" customWidth="1"/>
    <col min="10758" max="11008" width="39.85546875" style="180"/>
    <col min="11009" max="11009" width="6.140625" style="180" customWidth="1"/>
    <col min="11010" max="11010" width="36.5703125" style="180" customWidth="1"/>
    <col min="11011" max="11011" width="14" style="180" customWidth="1"/>
    <col min="11012" max="11012" width="14.42578125" style="180" customWidth="1"/>
    <col min="11013" max="11013" width="15" style="180" customWidth="1"/>
    <col min="11014" max="11264" width="39.85546875" style="180"/>
    <col min="11265" max="11265" width="6.140625" style="180" customWidth="1"/>
    <col min="11266" max="11266" width="36.5703125" style="180" customWidth="1"/>
    <col min="11267" max="11267" width="14" style="180" customWidth="1"/>
    <col min="11268" max="11268" width="14.42578125" style="180" customWidth="1"/>
    <col min="11269" max="11269" width="15" style="180" customWidth="1"/>
    <col min="11270" max="11520" width="39.85546875" style="180"/>
    <col min="11521" max="11521" width="6.140625" style="180" customWidth="1"/>
    <col min="11522" max="11522" width="36.5703125" style="180" customWidth="1"/>
    <col min="11523" max="11523" width="14" style="180" customWidth="1"/>
    <col min="11524" max="11524" width="14.42578125" style="180" customWidth="1"/>
    <col min="11525" max="11525" width="15" style="180" customWidth="1"/>
    <col min="11526" max="11776" width="39.85546875" style="180"/>
    <col min="11777" max="11777" width="6.140625" style="180" customWidth="1"/>
    <col min="11778" max="11778" width="36.5703125" style="180" customWidth="1"/>
    <col min="11779" max="11779" width="14" style="180" customWidth="1"/>
    <col min="11780" max="11780" width="14.42578125" style="180" customWidth="1"/>
    <col min="11781" max="11781" width="15" style="180" customWidth="1"/>
    <col min="11782" max="12032" width="39.85546875" style="180"/>
    <col min="12033" max="12033" width="6.140625" style="180" customWidth="1"/>
    <col min="12034" max="12034" width="36.5703125" style="180" customWidth="1"/>
    <col min="12035" max="12035" width="14" style="180" customWidth="1"/>
    <col min="12036" max="12036" width="14.42578125" style="180" customWidth="1"/>
    <col min="12037" max="12037" width="15" style="180" customWidth="1"/>
    <col min="12038" max="12288" width="39.85546875" style="180"/>
    <col min="12289" max="12289" width="6.140625" style="180" customWidth="1"/>
    <col min="12290" max="12290" width="36.5703125" style="180" customWidth="1"/>
    <col min="12291" max="12291" width="14" style="180" customWidth="1"/>
    <col min="12292" max="12292" width="14.42578125" style="180" customWidth="1"/>
    <col min="12293" max="12293" width="15" style="180" customWidth="1"/>
    <col min="12294" max="12544" width="39.85546875" style="180"/>
    <col min="12545" max="12545" width="6.140625" style="180" customWidth="1"/>
    <col min="12546" max="12546" width="36.5703125" style="180" customWidth="1"/>
    <col min="12547" max="12547" width="14" style="180" customWidth="1"/>
    <col min="12548" max="12548" width="14.42578125" style="180" customWidth="1"/>
    <col min="12549" max="12549" width="15" style="180" customWidth="1"/>
    <col min="12550" max="12800" width="39.85546875" style="180"/>
    <col min="12801" max="12801" width="6.140625" style="180" customWidth="1"/>
    <col min="12802" max="12802" width="36.5703125" style="180" customWidth="1"/>
    <col min="12803" max="12803" width="14" style="180" customWidth="1"/>
    <col min="12804" max="12804" width="14.42578125" style="180" customWidth="1"/>
    <col min="12805" max="12805" width="15" style="180" customWidth="1"/>
    <col min="12806" max="13056" width="39.85546875" style="180"/>
    <col min="13057" max="13057" width="6.140625" style="180" customWidth="1"/>
    <col min="13058" max="13058" width="36.5703125" style="180" customWidth="1"/>
    <col min="13059" max="13059" width="14" style="180" customWidth="1"/>
    <col min="13060" max="13060" width="14.42578125" style="180" customWidth="1"/>
    <col min="13061" max="13061" width="15" style="180" customWidth="1"/>
    <col min="13062" max="13312" width="39.85546875" style="180"/>
    <col min="13313" max="13313" width="6.140625" style="180" customWidth="1"/>
    <col min="13314" max="13314" width="36.5703125" style="180" customWidth="1"/>
    <col min="13315" max="13315" width="14" style="180" customWidth="1"/>
    <col min="13316" max="13316" width="14.42578125" style="180" customWidth="1"/>
    <col min="13317" max="13317" width="15" style="180" customWidth="1"/>
    <col min="13318" max="13568" width="39.85546875" style="180"/>
    <col min="13569" max="13569" width="6.140625" style="180" customWidth="1"/>
    <col min="13570" max="13570" width="36.5703125" style="180" customWidth="1"/>
    <col min="13571" max="13571" width="14" style="180" customWidth="1"/>
    <col min="13572" max="13572" width="14.42578125" style="180" customWidth="1"/>
    <col min="13573" max="13573" width="15" style="180" customWidth="1"/>
    <col min="13574" max="13824" width="39.85546875" style="180"/>
    <col min="13825" max="13825" width="6.140625" style="180" customWidth="1"/>
    <col min="13826" max="13826" width="36.5703125" style="180" customWidth="1"/>
    <col min="13827" max="13827" width="14" style="180" customWidth="1"/>
    <col min="13828" max="13828" width="14.42578125" style="180" customWidth="1"/>
    <col min="13829" max="13829" width="15" style="180" customWidth="1"/>
    <col min="13830" max="14080" width="39.85546875" style="180"/>
    <col min="14081" max="14081" width="6.140625" style="180" customWidth="1"/>
    <col min="14082" max="14082" width="36.5703125" style="180" customWidth="1"/>
    <col min="14083" max="14083" width="14" style="180" customWidth="1"/>
    <col min="14084" max="14084" width="14.42578125" style="180" customWidth="1"/>
    <col min="14085" max="14085" width="15" style="180" customWidth="1"/>
    <col min="14086" max="14336" width="39.85546875" style="180"/>
    <col min="14337" max="14337" width="6.140625" style="180" customWidth="1"/>
    <col min="14338" max="14338" width="36.5703125" style="180" customWidth="1"/>
    <col min="14339" max="14339" width="14" style="180" customWidth="1"/>
    <col min="14340" max="14340" width="14.42578125" style="180" customWidth="1"/>
    <col min="14341" max="14341" width="15" style="180" customWidth="1"/>
    <col min="14342" max="14592" width="39.85546875" style="180"/>
    <col min="14593" max="14593" width="6.140625" style="180" customWidth="1"/>
    <col min="14594" max="14594" width="36.5703125" style="180" customWidth="1"/>
    <col min="14595" max="14595" width="14" style="180" customWidth="1"/>
    <col min="14596" max="14596" width="14.42578125" style="180" customWidth="1"/>
    <col min="14597" max="14597" width="15" style="180" customWidth="1"/>
    <col min="14598" max="14848" width="39.85546875" style="180"/>
    <col min="14849" max="14849" width="6.140625" style="180" customWidth="1"/>
    <col min="14850" max="14850" width="36.5703125" style="180" customWidth="1"/>
    <col min="14851" max="14851" width="14" style="180" customWidth="1"/>
    <col min="14852" max="14852" width="14.42578125" style="180" customWidth="1"/>
    <col min="14853" max="14853" width="15" style="180" customWidth="1"/>
    <col min="14854" max="15104" width="39.85546875" style="180"/>
    <col min="15105" max="15105" width="6.140625" style="180" customWidth="1"/>
    <col min="15106" max="15106" width="36.5703125" style="180" customWidth="1"/>
    <col min="15107" max="15107" width="14" style="180" customWidth="1"/>
    <col min="15108" max="15108" width="14.42578125" style="180" customWidth="1"/>
    <col min="15109" max="15109" width="15" style="180" customWidth="1"/>
    <col min="15110" max="15360" width="39.85546875" style="180"/>
    <col min="15361" max="15361" width="6.140625" style="180" customWidth="1"/>
    <col min="15362" max="15362" width="36.5703125" style="180" customWidth="1"/>
    <col min="15363" max="15363" width="14" style="180" customWidth="1"/>
    <col min="15364" max="15364" width="14.42578125" style="180" customWidth="1"/>
    <col min="15365" max="15365" width="15" style="180" customWidth="1"/>
    <col min="15366" max="15616" width="39.85546875" style="180"/>
    <col min="15617" max="15617" width="6.140625" style="180" customWidth="1"/>
    <col min="15618" max="15618" width="36.5703125" style="180" customWidth="1"/>
    <col min="15619" max="15619" width="14" style="180" customWidth="1"/>
    <col min="15620" max="15620" width="14.42578125" style="180" customWidth="1"/>
    <col min="15621" max="15621" width="15" style="180" customWidth="1"/>
    <col min="15622" max="15872" width="39.85546875" style="180"/>
    <col min="15873" max="15873" width="6.140625" style="180" customWidth="1"/>
    <col min="15874" max="15874" width="36.5703125" style="180" customWidth="1"/>
    <col min="15875" max="15875" width="14" style="180" customWidth="1"/>
    <col min="15876" max="15876" width="14.42578125" style="180" customWidth="1"/>
    <col min="15877" max="15877" width="15" style="180" customWidth="1"/>
    <col min="15878" max="16128" width="39.85546875" style="180"/>
    <col min="16129" max="16129" width="6.140625" style="180" customWidth="1"/>
    <col min="16130" max="16130" width="36.5703125" style="180" customWidth="1"/>
    <col min="16131" max="16131" width="14" style="180" customWidth="1"/>
    <col min="16132" max="16132" width="14.42578125" style="180" customWidth="1"/>
    <col min="16133" max="16133" width="15" style="180" customWidth="1"/>
    <col min="16134" max="16384" width="39.85546875" style="180"/>
  </cols>
  <sheetData>
    <row r="1" spans="1:8" ht="37.5" customHeight="1" x14ac:dyDescent="0.25">
      <c r="C1" s="321" t="s">
        <v>432</v>
      </c>
      <c r="D1" s="321"/>
      <c r="E1" s="321"/>
    </row>
    <row r="2" spans="1:8" ht="30" customHeight="1" x14ac:dyDescent="0.25">
      <c r="A2" s="181"/>
      <c r="C2" s="181"/>
      <c r="D2" s="181"/>
      <c r="E2" s="181"/>
    </row>
    <row r="3" spans="1:8" ht="20.25" customHeight="1" x14ac:dyDescent="0.25">
      <c r="A3" s="322" t="s">
        <v>354</v>
      </c>
      <c r="B3" s="322"/>
      <c r="C3" s="322"/>
      <c r="D3" s="322"/>
      <c r="E3" s="322"/>
      <c r="F3" s="182"/>
    </row>
    <row r="4" spans="1:8" ht="39.75" customHeight="1" x14ac:dyDescent="0.3">
      <c r="A4" s="323" t="s">
        <v>431</v>
      </c>
      <c r="B4" s="323"/>
      <c r="C4" s="323"/>
      <c r="D4" s="323"/>
      <c r="E4" s="323"/>
      <c r="F4" s="183"/>
      <c r="G4" s="183"/>
      <c r="H4" s="183"/>
    </row>
    <row r="5" spans="1:8" ht="18.75" x14ac:dyDescent="0.3">
      <c r="C5" s="184"/>
    </row>
    <row r="6" spans="1:8" ht="15.6" customHeight="1" x14ac:dyDescent="0.25">
      <c r="A6" s="324" t="s">
        <v>160</v>
      </c>
      <c r="B6" s="324" t="s">
        <v>238</v>
      </c>
      <c r="C6" s="324" t="s">
        <v>239</v>
      </c>
      <c r="D6" s="327" t="s">
        <v>414</v>
      </c>
      <c r="E6" s="328"/>
    </row>
    <row r="7" spans="1:8" ht="18.600000000000001" customHeight="1" x14ac:dyDescent="0.25">
      <c r="A7" s="325"/>
      <c r="B7" s="325"/>
      <c r="C7" s="325"/>
      <c r="D7" s="324" t="s">
        <v>356</v>
      </c>
      <c r="E7" s="324" t="s">
        <v>357</v>
      </c>
    </row>
    <row r="8" spans="1:8" ht="18.600000000000001" customHeight="1" x14ac:dyDescent="0.25">
      <c r="A8" s="326"/>
      <c r="B8" s="326"/>
      <c r="C8" s="326"/>
      <c r="D8" s="326"/>
      <c r="E8" s="326"/>
    </row>
    <row r="9" spans="1:8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31.5" x14ac:dyDescent="0.25">
      <c r="A10" s="185">
        <v>1</v>
      </c>
      <c r="B10" s="186" t="s">
        <v>430</v>
      </c>
      <c r="C10" s="185" t="s">
        <v>245</v>
      </c>
      <c r="D10" s="187">
        <v>0.94</v>
      </c>
      <c r="E10" s="187">
        <f>D10</f>
        <v>0.94</v>
      </c>
    </row>
    <row r="11" spans="1:8" ht="31.5" x14ac:dyDescent="0.25">
      <c r="A11" s="185">
        <v>2</v>
      </c>
      <c r="B11" s="186" t="s">
        <v>421</v>
      </c>
      <c r="C11" s="185" t="s">
        <v>358</v>
      </c>
      <c r="D11" s="187">
        <v>0</v>
      </c>
      <c r="E11" s="187">
        <f>D11</f>
        <v>0</v>
      </c>
    </row>
    <row r="12" spans="1:8" x14ac:dyDescent="0.25">
      <c r="A12" s="185">
        <v>3</v>
      </c>
      <c r="B12" s="186" t="s">
        <v>422</v>
      </c>
      <c r="C12" s="185" t="s">
        <v>358</v>
      </c>
      <c r="D12" s="187">
        <v>0</v>
      </c>
      <c r="E12" s="187">
        <f>D12</f>
        <v>0</v>
      </c>
    </row>
    <row r="13" spans="1:8" ht="31.5" x14ac:dyDescent="0.25">
      <c r="A13" s="185">
        <v>4</v>
      </c>
      <c r="B13" s="188" t="s">
        <v>423</v>
      </c>
      <c r="C13" s="185" t="s">
        <v>359</v>
      </c>
      <c r="D13" s="187">
        <f>D14+D15+D16</f>
        <v>22.794999999999998</v>
      </c>
      <c r="E13" s="187">
        <f>E14+E15+E16</f>
        <v>22.794999999999998</v>
      </c>
    </row>
    <row r="14" spans="1:8" x14ac:dyDescent="0.25">
      <c r="A14" s="185">
        <v>5</v>
      </c>
      <c r="B14" s="188" t="s">
        <v>424</v>
      </c>
      <c r="C14" s="185" t="s">
        <v>359</v>
      </c>
      <c r="D14" s="187">
        <v>20.38</v>
      </c>
      <c r="E14" s="187">
        <f t="shared" ref="E14:E18" si="0">D14</f>
        <v>20.38</v>
      </c>
    </row>
    <row r="15" spans="1:8" x14ac:dyDescent="0.25">
      <c r="A15" s="185">
        <v>6</v>
      </c>
      <c r="B15" s="188" t="s">
        <v>425</v>
      </c>
      <c r="C15" s="185" t="s">
        <v>359</v>
      </c>
      <c r="D15" s="187">
        <v>2.4</v>
      </c>
      <c r="E15" s="187">
        <f t="shared" si="0"/>
        <v>2.4</v>
      </c>
    </row>
    <row r="16" spans="1:8" x14ac:dyDescent="0.25">
      <c r="A16" s="185">
        <v>7</v>
      </c>
      <c r="B16" s="188" t="s">
        <v>426</v>
      </c>
      <c r="C16" s="185" t="s">
        <v>359</v>
      </c>
      <c r="D16" s="190">
        <v>1.4999999999999999E-2</v>
      </c>
      <c r="E16" s="187">
        <f t="shared" si="0"/>
        <v>1.4999999999999999E-2</v>
      </c>
    </row>
    <row r="17" spans="1:5" ht="31.5" x14ac:dyDescent="0.25">
      <c r="A17" s="185">
        <v>8</v>
      </c>
      <c r="B17" s="188" t="s">
        <v>427</v>
      </c>
      <c r="C17" s="185" t="s">
        <v>359</v>
      </c>
      <c r="D17" s="190">
        <v>0</v>
      </c>
      <c r="E17" s="187">
        <f t="shared" si="0"/>
        <v>0</v>
      </c>
    </row>
    <row r="18" spans="1:5" ht="31.5" x14ac:dyDescent="0.25">
      <c r="A18" s="301">
        <v>9</v>
      </c>
      <c r="B18" s="188" t="s">
        <v>428</v>
      </c>
      <c r="C18" s="301"/>
      <c r="D18" s="190">
        <v>0</v>
      </c>
      <c r="E18" s="187">
        <f t="shared" si="0"/>
        <v>0</v>
      </c>
    </row>
    <row r="19" spans="1:5" x14ac:dyDescent="0.25">
      <c r="A19" s="185">
        <v>11</v>
      </c>
      <c r="B19" s="191" t="s">
        <v>360</v>
      </c>
      <c r="C19" s="192" t="s">
        <v>361</v>
      </c>
      <c r="D19" s="193">
        <v>0</v>
      </c>
      <c r="E19" s="193">
        <v>0</v>
      </c>
    </row>
    <row r="20" spans="1:5" ht="63" x14ac:dyDescent="0.25">
      <c r="A20" s="185">
        <v>12</v>
      </c>
      <c r="B20" s="191" t="s">
        <v>362</v>
      </c>
      <c r="C20" s="192" t="s">
        <v>363</v>
      </c>
      <c r="D20" s="190"/>
      <c r="E20" s="187"/>
    </row>
    <row r="21" spans="1:5" ht="15.75" customHeight="1" x14ac:dyDescent="0.25">
      <c r="A21" s="185" t="s">
        <v>415</v>
      </c>
      <c r="B21" s="191" t="s">
        <v>429</v>
      </c>
      <c r="C21" s="192" t="s">
        <v>363</v>
      </c>
      <c r="D21" s="190">
        <v>0</v>
      </c>
      <c r="E21" s="187">
        <v>0</v>
      </c>
    </row>
    <row r="22" spans="1:5" ht="31.5" x14ac:dyDescent="0.25">
      <c r="A22" s="185">
        <v>13</v>
      </c>
      <c r="B22" s="191" t="s">
        <v>416</v>
      </c>
      <c r="C22" s="191" t="s">
        <v>364</v>
      </c>
      <c r="D22" s="187">
        <v>0</v>
      </c>
      <c r="E22" s="187">
        <v>0</v>
      </c>
    </row>
    <row r="23" spans="1:5" x14ac:dyDescent="0.25">
      <c r="A23" s="194">
        <v>14</v>
      </c>
      <c r="B23" s="195" t="s">
        <v>247</v>
      </c>
      <c r="C23" s="194" t="s">
        <v>240</v>
      </c>
      <c r="D23" s="190">
        <v>105.6</v>
      </c>
      <c r="E23" s="190">
        <v>105.6</v>
      </c>
    </row>
    <row r="24" spans="1:5" ht="31.5" x14ac:dyDescent="0.25">
      <c r="A24" s="185">
        <v>15</v>
      </c>
      <c r="B24" s="188" t="s">
        <v>365</v>
      </c>
      <c r="C24" s="188"/>
      <c r="D24" s="187"/>
      <c r="E24" s="187"/>
    </row>
    <row r="25" spans="1:5" x14ac:dyDescent="0.25">
      <c r="A25" s="185" t="s">
        <v>417</v>
      </c>
      <c r="B25" s="188" t="s">
        <v>366</v>
      </c>
      <c r="C25" s="185" t="s">
        <v>240</v>
      </c>
      <c r="D25" s="187">
        <v>107.3</v>
      </c>
      <c r="E25" s="187">
        <f>D25</f>
        <v>107.3</v>
      </c>
    </row>
    <row r="26" spans="1:5" hidden="1" outlineLevel="1" x14ac:dyDescent="0.25">
      <c r="A26" s="185" t="s">
        <v>367</v>
      </c>
      <c r="B26" s="188" t="s">
        <v>368</v>
      </c>
      <c r="C26" s="185" t="s">
        <v>240</v>
      </c>
      <c r="D26" s="187">
        <v>0</v>
      </c>
      <c r="E26" s="187">
        <f>D26</f>
        <v>0</v>
      </c>
    </row>
    <row r="27" spans="1:5" hidden="1" outlineLevel="1" x14ac:dyDescent="0.25">
      <c r="A27" s="185" t="s">
        <v>369</v>
      </c>
      <c r="B27" s="188" t="s">
        <v>370</v>
      </c>
      <c r="C27" s="185" t="s">
        <v>240</v>
      </c>
      <c r="D27" s="187">
        <v>0</v>
      </c>
      <c r="E27" s="187">
        <f>D27</f>
        <v>0</v>
      </c>
    </row>
    <row r="28" spans="1:5" collapsed="1" x14ac:dyDescent="0.25">
      <c r="A28" s="185" t="s">
        <v>418</v>
      </c>
      <c r="B28" s="188" t="s">
        <v>371</v>
      </c>
      <c r="C28" s="185" t="s">
        <v>240</v>
      </c>
      <c r="D28" s="187">
        <v>103</v>
      </c>
      <c r="E28" s="187">
        <f>D28</f>
        <v>103</v>
      </c>
    </row>
    <row r="29" spans="1:5" hidden="1" outlineLevel="1" x14ac:dyDescent="0.25">
      <c r="A29" s="185" t="s">
        <v>372</v>
      </c>
      <c r="B29" s="188" t="s">
        <v>373</v>
      </c>
      <c r="C29" s="185" t="s">
        <v>240</v>
      </c>
      <c r="D29" s="196">
        <v>0</v>
      </c>
      <c r="E29" s="196">
        <f>D29</f>
        <v>0</v>
      </c>
    </row>
    <row r="30" spans="1:5" collapsed="1" x14ac:dyDescent="0.25"/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2" workbookViewId="0">
      <selection activeCell="A5" sqref="A5:E5"/>
    </sheetView>
  </sheetViews>
  <sheetFormatPr defaultRowHeight="15.75" x14ac:dyDescent="0.25"/>
  <cols>
    <col min="1" max="1" width="10.42578125" style="197" customWidth="1"/>
    <col min="2" max="2" width="37" style="197" customWidth="1"/>
    <col min="3" max="3" width="14.42578125" style="198" customWidth="1"/>
    <col min="4" max="4" width="12" style="198" customWidth="1"/>
    <col min="5" max="5" width="13.140625" style="197" customWidth="1"/>
    <col min="6" max="6" width="9.140625" style="197"/>
    <col min="7" max="7" width="22" style="197" customWidth="1"/>
    <col min="8" max="256" width="9.140625" style="197"/>
    <col min="257" max="257" width="10.42578125" style="197" customWidth="1"/>
    <col min="258" max="258" width="37" style="197" customWidth="1"/>
    <col min="259" max="259" width="14.42578125" style="197" customWidth="1"/>
    <col min="260" max="260" width="12" style="197" customWidth="1"/>
    <col min="261" max="261" width="13.140625" style="197" customWidth="1"/>
    <col min="262" max="262" width="9.140625" style="197"/>
    <col min="263" max="263" width="22" style="197" customWidth="1"/>
    <col min="264" max="512" width="9.140625" style="197"/>
    <col min="513" max="513" width="10.42578125" style="197" customWidth="1"/>
    <col min="514" max="514" width="37" style="197" customWidth="1"/>
    <col min="515" max="515" width="14.42578125" style="197" customWidth="1"/>
    <col min="516" max="516" width="12" style="197" customWidth="1"/>
    <col min="517" max="517" width="13.140625" style="197" customWidth="1"/>
    <col min="518" max="518" width="9.140625" style="197"/>
    <col min="519" max="519" width="22" style="197" customWidth="1"/>
    <col min="520" max="768" width="9.140625" style="197"/>
    <col min="769" max="769" width="10.42578125" style="197" customWidth="1"/>
    <col min="770" max="770" width="37" style="197" customWidth="1"/>
    <col min="771" max="771" width="14.42578125" style="197" customWidth="1"/>
    <col min="772" max="772" width="12" style="197" customWidth="1"/>
    <col min="773" max="773" width="13.140625" style="197" customWidth="1"/>
    <col min="774" max="774" width="9.140625" style="197"/>
    <col min="775" max="775" width="22" style="197" customWidth="1"/>
    <col min="776" max="1024" width="9.140625" style="197"/>
    <col min="1025" max="1025" width="10.42578125" style="197" customWidth="1"/>
    <col min="1026" max="1026" width="37" style="197" customWidth="1"/>
    <col min="1027" max="1027" width="14.42578125" style="197" customWidth="1"/>
    <col min="1028" max="1028" width="12" style="197" customWidth="1"/>
    <col min="1029" max="1029" width="13.140625" style="197" customWidth="1"/>
    <col min="1030" max="1030" width="9.140625" style="197"/>
    <col min="1031" max="1031" width="22" style="197" customWidth="1"/>
    <col min="1032" max="1280" width="9.140625" style="197"/>
    <col min="1281" max="1281" width="10.42578125" style="197" customWidth="1"/>
    <col min="1282" max="1282" width="37" style="197" customWidth="1"/>
    <col min="1283" max="1283" width="14.42578125" style="197" customWidth="1"/>
    <col min="1284" max="1284" width="12" style="197" customWidth="1"/>
    <col min="1285" max="1285" width="13.140625" style="197" customWidth="1"/>
    <col min="1286" max="1286" width="9.140625" style="197"/>
    <col min="1287" max="1287" width="22" style="197" customWidth="1"/>
    <col min="1288" max="1536" width="9.140625" style="197"/>
    <col min="1537" max="1537" width="10.42578125" style="197" customWidth="1"/>
    <col min="1538" max="1538" width="37" style="197" customWidth="1"/>
    <col min="1539" max="1539" width="14.42578125" style="197" customWidth="1"/>
    <col min="1540" max="1540" width="12" style="197" customWidth="1"/>
    <col min="1541" max="1541" width="13.140625" style="197" customWidth="1"/>
    <col min="1542" max="1542" width="9.140625" style="197"/>
    <col min="1543" max="1543" width="22" style="197" customWidth="1"/>
    <col min="1544" max="1792" width="9.140625" style="197"/>
    <col min="1793" max="1793" width="10.42578125" style="197" customWidth="1"/>
    <col min="1794" max="1794" width="37" style="197" customWidth="1"/>
    <col min="1795" max="1795" width="14.42578125" style="197" customWidth="1"/>
    <col min="1796" max="1796" width="12" style="197" customWidth="1"/>
    <col min="1797" max="1797" width="13.140625" style="197" customWidth="1"/>
    <col min="1798" max="1798" width="9.140625" style="197"/>
    <col min="1799" max="1799" width="22" style="197" customWidth="1"/>
    <col min="1800" max="2048" width="9.140625" style="197"/>
    <col min="2049" max="2049" width="10.42578125" style="197" customWidth="1"/>
    <col min="2050" max="2050" width="37" style="197" customWidth="1"/>
    <col min="2051" max="2051" width="14.42578125" style="197" customWidth="1"/>
    <col min="2052" max="2052" width="12" style="197" customWidth="1"/>
    <col min="2053" max="2053" width="13.140625" style="197" customWidth="1"/>
    <col min="2054" max="2054" width="9.140625" style="197"/>
    <col min="2055" max="2055" width="22" style="197" customWidth="1"/>
    <col min="2056" max="2304" width="9.140625" style="197"/>
    <col min="2305" max="2305" width="10.42578125" style="197" customWidth="1"/>
    <col min="2306" max="2306" width="37" style="197" customWidth="1"/>
    <col min="2307" max="2307" width="14.42578125" style="197" customWidth="1"/>
    <col min="2308" max="2308" width="12" style="197" customWidth="1"/>
    <col min="2309" max="2309" width="13.140625" style="197" customWidth="1"/>
    <col min="2310" max="2310" width="9.140625" style="197"/>
    <col min="2311" max="2311" width="22" style="197" customWidth="1"/>
    <col min="2312" max="2560" width="9.140625" style="197"/>
    <col min="2561" max="2561" width="10.42578125" style="197" customWidth="1"/>
    <col min="2562" max="2562" width="37" style="197" customWidth="1"/>
    <col min="2563" max="2563" width="14.42578125" style="197" customWidth="1"/>
    <col min="2564" max="2564" width="12" style="197" customWidth="1"/>
    <col min="2565" max="2565" width="13.140625" style="197" customWidth="1"/>
    <col min="2566" max="2566" width="9.140625" style="197"/>
    <col min="2567" max="2567" width="22" style="197" customWidth="1"/>
    <col min="2568" max="2816" width="9.140625" style="197"/>
    <col min="2817" max="2817" width="10.42578125" style="197" customWidth="1"/>
    <col min="2818" max="2818" width="37" style="197" customWidth="1"/>
    <col min="2819" max="2819" width="14.42578125" style="197" customWidth="1"/>
    <col min="2820" max="2820" width="12" style="197" customWidth="1"/>
    <col min="2821" max="2821" width="13.140625" style="197" customWidth="1"/>
    <col min="2822" max="2822" width="9.140625" style="197"/>
    <col min="2823" max="2823" width="22" style="197" customWidth="1"/>
    <col min="2824" max="3072" width="9.140625" style="197"/>
    <col min="3073" max="3073" width="10.42578125" style="197" customWidth="1"/>
    <col min="3074" max="3074" width="37" style="197" customWidth="1"/>
    <col min="3075" max="3075" width="14.42578125" style="197" customWidth="1"/>
    <col min="3076" max="3076" width="12" style="197" customWidth="1"/>
    <col min="3077" max="3077" width="13.140625" style="197" customWidth="1"/>
    <col min="3078" max="3078" width="9.140625" style="197"/>
    <col min="3079" max="3079" width="22" style="197" customWidth="1"/>
    <col min="3080" max="3328" width="9.140625" style="197"/>
    <col min="3329" max="3329" width="10.42578125" style="197" customWidth="1"/>
    <col min="3330" max="3330" width="37" style="197" customWidth="1"/>
    <col min="3331" max="3331" width="14.42578125" style="197" customWidth="1"/>
    <col min="3332" max="3332" width="12" style="197" customWidth="1"/>
    <col min="3333" max="3333" width="13.140625" style="197" customWidth="1"/>
    <col min="3334" max="3334" width="9.140625" style="197"/>
    <col min="3335" max="3335" width="22" style="197" customWidth="1"/>
    <col min="3336" max="3584" width="9.140625" style="197"/>
    <col min="3585" max="3585" width="10.42578125" style="197" customWidth="1"/>
    <col min="3586" max="3586" width="37" style="197" customWidth="1"/>
    <col min="3587" max="3587" width="14.42578125" style="197" customWidth="1"/>
    <col min="3588" max="3588" width="12" style="197" customWidth="1"/>
    <col min="3589" max="3589" width="13.140625" style="197" customWidth="1"/>
    <col min="3590" max="3590" width="9.140625" style="197"/>
    <col min="3591" max="3591" width="22" style="197" customWidth="1"/>
    <col min="3592" max="3840" width="9.140625" style="197"/>
    <col min="3841" max="3841" width="10.42578125" style="197" customWidth="1"/>
    <col min="3842" max="3842" width="37" style="197" customWidth="1"/>
    <col min="3843" max="3843" width="14.42578125" style="197" customWidth="1"/>
    <col min="3844" max="3844" width="12" style="197" customWidth="1"/>
    <col min="3845" max="3845" width="13.140625" style="197" customWidth="1"/>
    <col min="3846" max="3846" width="9.140625" style="197"/>
    <col min="3847" max="3847" width="22" style="197" customWidth="1"/>
    <col min="3848" max="4096" width="9.140625" style="197"/>
    <col min="4097" max="4097" width="10.42578125" style="197" customWidth="1"/>
    <col min="4098" max="4098" width="37" style="197" customWidth="1"/>
    <col min="4099" max="4099" width="14.42578125" style="197" customWidth="1"/>
    <col min="4100" max="4100" width="12" style="197" customWidth="1"/>
    <col min="4101" max="4101" width="13.140625" style="197" customWidth="1"/>
    <col min="4102" max="4102" width="9.140625" style="197"/>
    <col min="4103" max="4103" width="22" style="197" customWidth="1"/>
    <col min="4104" max="4352" width="9.140625" style="197"/>
    <col min="4353" max="4353" width="10.42578125" style="197" customWidth="1"/>
    <col min="4354" max="4354" width="37" style="197" customWidth="1"/>
    <col min="4355" max="4355" width="14.42578125" style="197" customWidth="1"/>
    <col min="4356" max="4356" width="12" style="197" customWidth="1"/>
    <col min="4357" max="4357" width="13.140625" style="197" customWidth="1"/>
    <col min="4358" max="4358" width="9.140625" style="197"/>
    <col min="4359" max="4359" width="22" style="197" customWidth="1"/>
    <col min="4360" max="4608" width="9.140625" style="197"/>
    <col min="4609" max="4609" width="10.42578125" style="197" customWidth="1"/>
    <col min="4610" max="4610" width="37" style="197" customWidth="1"/>
    <col min="4611" max="4611" width="14.42578125" style="197" customWidth="1"/>
    <col min="4612" max="4612" width="12" style="197" customWidth="1"/>
    <col min="4613" max="4613" width="13.140625" style="197" customWidth="1"/>
    <col min="4614" max="4614" width="9.140625" style="197"/>
    <col min="4615" max="4615" width="22" style="197" customWidth="1"/>
    <col min="4616" max="4864" width="9.140625" style="197"/>
    <col min="4865" max="4865" width="10.42578125" style="197" customWidth="1"/>
    <col min="4866" max="4866" width="37" style="197" customWidth="1"/>
    <col min="4867" max="4867" width="14.42578125" style="197" customWidth="1"/>
    <col min="4868" max="4868" width="12" style="197" customWidth="1"/>
    <col min="4869" max="4869" width="13.140625" style="197" customWidth="1"/>
    <col min="4870" max="4870" width="9.140625" style="197"/>
    <col min="4871" max="4871" width="22" style="197" customWidth="1"/>
    <col min="4872" max="5120" width="9.140625" style="197"/>
    <col min="5121" max="5121" width="10.42578125" style="197" customWidth="1"/>
    <col min="5122" max="5122" width="37" style="197" customWidth="1"/>
    <col min="5123" max="5123" width="14.42578125" style="197" customWidth="1"/>
    <col min="5124" max="5124" width="12" style="197" customWidth="1"/>
    <col min="5125" max="5125" width="13.140625" style="197" customWidth="1"/>
    <col min="5126" max="5126" width="9.140625" style="197"/>
    <col min="5127" max="5127" width="22" style="197" customWidth="1"/>
    <col min="5128" max="5376" width="9.140625" style="197"/>
    <col min="5377" max="5377" width="10.42578125" style="197" customWidth="1"/>
    <col min="5378" max="5378" width="37" style="197" customWidth="1"/>
    <col min="5379" max="5379" width="14.42578125" style="197" customWidth="1"/>
    <col min="5380" max="5380" width="12" style="197" customWidth="1"/>
    <col min="5381" max="5381" width="13.140625" style="197" customWidth="1"/>
    <col min="5382" max="5382" width="9.140625" style="197"/>
    <col min="5383" max="5383" width="22" style="197" customWidth="1"/>
    <col min="5384" max="5632" width="9.140625" style="197"/>
    <col min="5633" max="5633" width="10.42578125" style="197" customWidth="1"/>
    <col min="5634" max="5634" width="37" style="197" customWidth="1"/>
    <col min="5635" max="5635" width="14.42578125" style="197" customWidth="1"/>
    <col min="5636" max="5636" width="12" style="197" customWidth="1"/>
    <col min="5637" max="5637" width="13.140625" style="197" customWidth="1"/>
    <col min="5638" max="5638" width="9.140625" style="197"/>
    <col min="5639" max="5639" width="22" style="197" customWidth="1"/>
    <col min="5640" max="5888" width="9.140625" style="197"/>
    <col min="5889" max="5889" width="10.42578125" style="197" customWidth="1"/>
    <col min="5890" max="5890" width="37" style="197" customWidth="1"/>
    <col min="5891" max="5891" width="14.42578125" style="197" customWidth="1"/>
    <col min="5892" max="5892" width="12" style="197" customWidth="1"/>
    <col min="5893" max="5893" width="13.140625" style="197" customWidth="1"/>
    <col min="5894" max="5894" width="9.140625" style="197"/>
    <col min="5895" max="5895" width="22" style="197" customWidth="1"/>
    <col min="5896" max="6144" width="9.140625" style="197"/>
    <col min="6145" max="6145" width="10.42578125" style="197" customWidth="1"/>
    <col min="6146" max="6146" width="37" style="197" customWidth="1"/>
    <col min="6147" max="6147" width="14.42578125" style="197" customWidth="1"/>
    <col min="6148" max="6148" width="12" style="197" customWidth="1"/>
    <col min="6149" max="6149" width="13.140625" style="197" customWidth="1"/>
    <col min="6150" max="6150" width="9.140625" style="197"/>
    <col min="6151" max="6151" width="22" style="197" customWidth="1"/>
    <col min="6152" max="6400" width="9.140625" style="197"/>
    <col min="6401" max="6401" width="10.42578125" style="197" customWidth="1"/>
    <col min="6402" max="6402" width="37" style="197" customWidth="1"/>
    <col min="6403" max="6403" width="14.42578125" style="197" customWidth="1"/>
    <col min="6404" max="6404" width="12" style="197" customWidth="1"/>
    <col min="6405" max="6405" width="13.140625" style="197" customWidth="1"/>
    <col min="6406" max="6406" width="9.140625" style="197"/>
    <col min="6407" max="6407" width="22" style="197" customWidth="1"/>
    <col min="6408" max="6656" width="9.140625" style="197"/>
    <col min="6657" max="6657" width="10.42578125" style="197" customWidth="1"/>
    <col min="6658" max="6658" width="37" style="197" customWidth="1"/>
    <col min="6659" max="6659" width="14.42578125" style="197" customWidth="1"/>
    <col min="6660" max="6660" width="12" style="197" customWidth="1"/>
    <col min="6661" max="6661" width="13.140625" style="197" customWidth="1"/>
    <col min="6662" max="6662" width="9.140625" style="197"/>
    <col min="6663" max="6663" width="22" style="197" customWidth="1"/>
    <col min="6664" max="6912" width="9.140625" style="197"/>
    <col min="6913" max="6913" width="10.42578125" style="197" customWidth="1"/>
    <col min="6914" max="6914" width="37" style="197" customWidth="1"/>
    <col min="6915" max="6915" width="14.42578125" style="197" customWidth="1"/>
    <col min="6916" max="6916" width="12" style="197" customWidth="1"/>
    <col min="6917" max="6917" width="13.140625" style="197" customWidth="1"/>
    <col min="6918" max="6918" width="9.140625" style="197"/>
    <col min="6919" max="6919" width="22" style="197" customWidth="1"/>
    <col min="6920" max="7168" width="9.140625" style="197"/>
    <col min="7169" max="7169" width="10.42578125" style="197" customWidth="1"/>
    <col min="7170" max="7170" width="37" style="197" customWidth="1"/>
    <col min="7171" max="7171" width="14.42578125" style="197" customWidth="1"/>
    <col min="7172" max="7172" width="12" style="197" customWidth="1"/>
    <col min="7173" max="7173" width="13.140625" style="197" customWidth="1"/>
    <col min="7174" max="7174" width="9.140625" style="197"/>
    <col min="7175" max="7175" width="22" style="197" customWidth="1"/>
    <col min="7176" max="7424" width="9.140625" style="197"/>
    <col min="7425" max="7425" width="10.42578125" style="197" customWidth="1"/>
    <col min="7426" max="7426" width="37" style="197" customWidth="1"/>
    <col min="7427" max="7427" width="14.42578125" style="197" customWidth="1"/>
    <col min="7428" max="7428" width="12" style="197" customWidth="1"/>
    <col min="7429" max="7429" width="13.140625" style="197" customWidth="1"/>
    <col min="7430" max="7430" width="9.140625" style="197"/>
    <col min="7431" max="7431" width="22" style="197" customWidth="1"/>
    <col min="7432" max="7680" width="9.140625" style="197"/>
    <col min="7681" max="7681" width="10.42578125" style="197" customWidth="1"/>
    <col min="7682" max="7682" width="37" style="197" customWidth="1"/>
    <col min="7683" max="7683" width="14.42578125" style="197" customWidth="1"/>
    <col min="7684" max="7684" width="12" style="197" customWidth="1"/>
    <col min="7685" max="7685" width="13.140625" style="197" customWidth="1"/>
    <col min="7686" max="7686" width="9.140625" style="197"/>
    <col min="7687" max="7687" width="22" style="197" customWidth="1"/>
    <col min="7688" max="7936" width="9.140625" style="197"/>
    <col min="7937" max="7937" width="10.42578125" style="197" customWidth="1"/>
    <col min="7938" max="7938" width="37" style="197" customWidth="1"/>
    <col min="7939" max="7939" width="14.42578125" style="197" customWidth="1"/>
    <col min="7940" max="7940" width="12" style="197" customWidth="1"/>
    <col min="7941" max="7941" width="13.140625" style="197" customWidth="1"/>
    <col min="7942" max="7942" width="9.140625" style="197"/>
    <col min="7943" max="7943" width="22" style="197" customWidth="1"/>
    <col min="7944" max="8192" width="9.140625" style="197"/>
    <col min="8193" max="8193" width="10.42578125" style="197" customWidth="1"/>
    <col min="8194" max="8194" width="37" style="197" customWidth="1"/>
    <col min="8195" max="8195" width="14.42578125" style="197" customWidth="1"/>
    <col min="8196" max="8196" width="12" style="197" customWidth="1"/>
    <col min="8197" max="8197" width="13.140625" style="197" customWidth="1"/>
    <col min="8198" max="8198" width="9.140625" style="197"/>
    <col min="8199" max="8199" width="22" style="197" customWidth="1"/>
    <col min="8200" max="8448" width="9.140625" style="197"/>
    <col min="8449" max="8449" width="10.42578125" style="197" customWidth="1"/>
    <col min="8450" max="8450" width="37" style="197" customWidth="1"/>
    <col min="8451" max="8451" width="14.42578125" style="197" customWidth="1"/>
    <col min="8452" max="8452" width="12" style="197" customWidth="1"/>
    <col min="8453" max="8453" width="13.140625" style="197" customWidth="1"/>
    <col min="8454" max="8454" width="9.140625" style="197"/>
    <col min="8455" max="8455" width="22" style="197" customWidth="1"/>
    <col min="8456" max="8704" width="9.140625" style="197"/>
    <col min="8705" max="8705" width="10.42578125" style="197" customWidth="1"/>
    <col min="8706" max="8706" width="37" style="197" customWidth="1"/>
    <col min="8707" max="8707" width="14.42578125" style="197" customWidth="1"/>
    <col min="8708" max="8708" width="12" style="197" customWidth="1"/>
    <col min="8709" max="8709" width="13.140625" style="197" customWidth="1"/>
    <col min="8710" max="8710" width="9.140625" style="197"/>
    <col min="8711" max="8711" width="22" style="197" customWidth="1"/>
    <col min="8712" max="8960" width="9.140625" style="197"/>
    <col min="8961" max="8961" width="10.42578125" style="197" customWidth="1"/>
    <col min="8962" max="8962" width="37" style="197" customWidth="1"/>
    <col min="8963" max="8963" width="14.42578125" style="197" customWidth="1"/>
    <col min="8964" max="8964" width="12" style="197" customWidth="1"/>
    <col min="8965" max="8965" width="13.140625" style="197" customWidth="1"/>
    <col min="8966" max="8966" width="9.140625" style="197"/>
    <col min="8967" max="8967" width="22" style="197" customWidth="1"/>
    <col min="8968" max="9216" width="9.140625" style="197"/>
    <col min="9217" max="9217" width="10.42578125" style="197" customWidth="1"/>
    <col min="9218" max="9218" width="37" style="197" customWidth="1"/>
    <col min="9219" max="9219" width="14.42578125" style="197" customWidth="1"/>
    <col min="9220" max="9220" width="12" style="197" customWidth="1"/>
    <col min="9221" max="9221" width="13.140625" style="197" customWidth="1"/>
    <col min="9222" max="9222" width="9.140625" style="197"/>
    <col min="9223" max="9223" width="22" style="197" customWidth="1"/>
    <col min="9224" max="9472" width="9.140625" style="197"/>
    <col min="9473" max="9473" width="10.42578125" style="197" customWidth="1"/>
    <col min="9474" max="9474" width="37" style="197" customWidth="1"/>
    <col min="9475" max="9475" width="14.42578125" style="197" customWidth="1"/>
    <col min="9476" max="9476" width="12" style="197" customWidth="1"/>
    <col min="9477" max="9477" width="13.140625" style="197" customWidth="1"/>
    <col min="9478" max="9478" width="9.140625" style="197"/>
    <col min="9479" max="9479" width="22" style="197" customWidth="1"/>
    <col min="9480" max="9728" width="9.140625" style="197"/>
    <col min="9729" max="9729" width="10.42578125" style="197" customWidth="1"/>
    <col min="9730" max="9730" width="37" style="197" customWidth="1"/>
    <col min="9731" max="9731" width="14.42578125" style="197" customWidth="1"/>
    <col min="9732" max="9732" width="12" style="197" customWidth="1"/>
    <col min="9733" max="9733" width="13.140625" style="197" customWidth="1"/>
    <col min="9734" max="9734" width="9.140625" style="197"/>
    <col min="9735" max="9735" width="22" style="197" customWidth="1"/>
    <col min="9736" max="9984" width="9.140625" style="197"/>
    <col min="9985" max="9985" width="10.42578125" style="197" customWidth="1"/>
    <col min="9986" max="9986" width="37" style="197" customWidth="1"/>
    <col min="9987" max="9987" width="14.42578125" style="197" customWidth="1"/>
    <col min="9988" max="9988" width="12" style="197" customWidth="1"/>
    <col min="9989" max="9989" width="13.140625" style="197" customWidth="1"/>
    <col min="9990" max="9990" width="9.140625" style="197"/>
    <col min="9991" max="9991" width="22" style="197" customWidth="1"/>
    <col min="9992" max="10240" width="9.140625" style="197"/>
    <col min="10241" max="10241" width="10.42578125" style="197" customWidth="1"/>
    <col min="10242" max="10242" width="37" style="197" customWidth="1"/>
    <col min="10243" max="10243" width="14.42578125" style="197" customWidth="1"/>
    <col min="10244" max="10244" width="12" style="197" customWidth="1"/>
    <col min="10245" max="10245" width="13.140625" style="197" customWidth="1"/>
    <col min="10246" max="10246" width="9.140625" style="197"/>
    <col min="10247" max="10247" width="22" style="197" customWidth="1"/>
    <col min="10248" max="10496" width="9.140625" style="197"/>
    <col min="10497" max="10497" width="10.42578125" style="197" customWidth="1"/>
    <col min="10498" max="10498" width="37" style="197" customWidth="1"/>
    <col min="10499" max="10499" width="14.42578125" style="197" customWidth="1"/>
    <col min="10500" max="10500" width="12" style="197" customWidth="1"/>
    <col min="10501" max="10501" width="13.140625" style="197" customWidth="1"/>
    <col min="10502" max="10502" width="9.140625" style="197"/>
    <col min="10503" max="10503" width="22" style="197" customWidth="1"/>
    <col min="10504" max="10752" width="9.140625" style="197"/>
    <col min="10753" max="10753" width="10.42578125" style="197" customWidth="1"/>
    <col min="10754" max="10754" width="37" style="197" customWidth="1"/>
    <col min="10755" max="10755" width="14.42578125" style="197" customWidth="1"/>
    <col min="10756" max="10756" width="12" style="197" customWidth="1"/>
    <col min="10757" max="10757" width="13.140625" style="197" customWidth="1"/>
    <col min="10758" max="10758" width="9.140625" style="197"/>
    <col min="10759" max="10759" width="22" style="197" customWidth="1"/>
    <col min="10760" max="11008" width="9.140625" style="197"/>
    <col min="11009" max="11009" width="10.42578125" style="197" customWidth="1"/>
    <col min="11010" max="11010" width="37" style="197" customWidth="1"/>
    <col min="11011" max="11011" width="14.42578125" style="197" customWidth="1"/>
    <col min="11012" max="11012" width="12" style="197" customWidth="1"/>
    <col min="11013" max="11013" width="13.140625" style="197" customWidth="1"/>
    <col min="11014" max="11014" width="9.140625" style="197"/>
    <col min="11015" max="11015" width="22" style="197" customWidth="1"/>
    <col min="11016" max="11264" width="9.140625" style="197"/>
    <col min="11265" max="11265" width="10.42578125" style="197" customWidth="1"/>
    <col min="11266" max="11266" width="37" style="197" customWidth="1"/>
    <col min="11267" max="11267" width="14.42578125" style="197" customWidth="1"/>
    <col min="11268" max="11268" width="12" style="197" customWidth="1"/>
    <col min="11269" max="11269" width="13.140625" style="197" customWidth="1"/>
    <col min="11270" max="11270" width="9.140625" style="197"/>
    <col min="11271" max="11271" width="22" style="197" customWidth="1"/>
    <col min="11272" max="11520" width="9.140625" style="197"/>
    <col min="11521" max="11521" width="10.42578125" style="197" customWidth="1"/>
    <col min="11522" max="11522" width="37" style="197" customWidth="1"/>
    <col min="11523" max="11523" width="14.42578125" style="197" customWidth="1"/>
    <col min="11524" max="11524" width="12" style="197" customWidth="1"/>
    <col min="11525" max="11525" width="13.140625" style="197" customWidth="1"/>
    <col min="11526" max="11526" width="9.140625" style="197"/>
    <col min="11527" max="11527" width="22" style="197" customWidth="1"/>
    <col min="11528" max="11776" width="9.140625" style="197"/>
    <col min="11777" max="11777" width="10.42578125" style="197" customWidth="1"/>
    <col min="11778" max="11778" width="37" style="197" customWidth="1"/>
    <col min="11779" max="11779" width="14.42578125" style="197" customWidth="1"/>
    <col min="11780" max="11780" width="12" style="197" customWidth="1"/>
    <col min="11781" max="11781" width="13.140625" style="197" customWidth="1"/>
    <col min="11782" max="11782" width="9.140625" style="197"/>
    <col min="11783" max="11783" width="22" style="197" customWidth="1"/>
    <col min="11784" max="12032" width="9.140625" style="197"/>
    <col min="12033" max="12033" width="10.42578125" style="197" customWidth="1"/>
    <col min="12034" max="12034" width="37" style="197" customWidth="1"/>
    <col min="12035" max="12035" width="14.42578125" style="197" customWidth="1"/>
    <col min="12036" max="12036" width="12" style="197" customWidth="1"/>
    <col min="12037" max="12037" width="13.140625" style="197" customWidth="1"/>
    <col min="12038" max="12038" width="9.140625" style="197"/>
    <col min="12039" max="12039" width="22" style="197" customWidth="1"/>
    <col min="12040" max="12288" width="9.140625" style="197"/>
    <col min="12289" max="12289" width="10.42578125" style="197" customWidth="1"/>
    <col min="12290" max="12290" width="37" style="197" customWidth="1"/>
    <col min="12291" max="12291" width="14.42578125" style="197" customWidth="1"/>
    <col min="12292" max="12292" width="12" style="197" customWidth="1"/>
    <col min="12293" max="12293" width="13.140625" style="197" customWidth="1"/>
    <col min="12294" max="12294" width="9.140625" style="197"/>
    <col min="12295" max="12295" width="22" style="197" customWidth="1"/>
    <col min="12296" max="12544" width="9.140625" style="197"/>
    <col min="12545" max="12545" width="10.42578125" style="197" customWidth="1"/>
    <col min="12546" max="12546" width="37" style="197" customWidth="1"/>
    <col min="12547" max="12547" width="14.42578125" style="197" customWidth="1"/>
    <col min="12548" max="12548" width="12" style="197" customWidth="1"/>
    <col min="12549" max="12549" width="13.140625" style="197" customWidth="1"/>
    <col min="12550" max="12550" width="9.140625" style="197"/>
    <col min="12551" max="12551" width="22" style="197" customWidth="1"/>
    <col min="12552" max="12800" width="9.140625" style="197"/>
    <col min="12801" max="12801" width="10.42578125" style="197" customWidth="1"/>
    <col min="12802" max="12802" width="37" style="197" customWidth="1"/>
    <col min="12803" max="12803" width="14.42578125" style="197" customWidth="1"/>
    <col min="12804" max="12804" width="12" style="197" customWidth="1"/>
    <col min="12805" max="12805" width="13.140625" style="197" customWidth="1"/>
    <col min="12806" max="12806" width="9.140625" style="197"/>
    <col min="12807" max="12807" width="22" style="197" customWidth="1"/>
    <col min="12808" max="13056" width="9.140625" style="197"/>
    <col min="13057" max="13057" width="10.42578125" style="197" customWidth="1"/>
    <col min="13058" max="13058" width="37" style="197" customWidth="1"/>
    <col min="13059" max="13059" width="14.42578125" style="197" customWidth="1"/>
    <col min="13060" max="13060" width="12" style="197" customWidth="1"/>
    <col min="13061" max="13061" width="13.140625" style="197" customWidth="1"/>
    <col min="13062" max="13062" width="9.140625" style="197"/>
    <col min="13063" max="13063" width="22" style="197" customWidth="1"/>
    <col min="13064" max="13312" width="9.140625" style="197"/>
    <col min="13313" max="13313" width="10.42578125" style="197" customWidth="1"/>
    <col min="13314" max="13314" width="37" style="197" customWidth="1"/>
    <col min="13315" max="13315" width="14.42578125" style="197" customWidth="1"/>
    <col min="13316" max="13316" width="12" style="197" customWidth="1"/>
    <col min="13317" max="13317" width="13.140625" style="197" customWidth="1"/>
    <col min="13318" max="13318" width="9.140625" style="197"/>
    <col min="13319" max="13319" width="22" style="197" customWidth="1"/>
    <col min="13320" max="13568" width="9.140625" style="197"/>
    <col min="13569" max="13569" width="10.42578125" style="197" customWidth="1"/>
    <col min="13570" max="13570" width="37" style="197" customWidth="1"/>
    <col min="13571" max="13571" width="14.42578125" style="197" customWidth="1"/>
    <col min="13572" max="13572" width="12" style="197" customWidth="1"/>
    <col min="13573" max="13573" width="13.140625" style="197" customWidth="1"/>
    <col min="13574" max="13574" width="9.140625" style="197"/>
    <col min="13575" max="13575" width="22" style="197" customWidth="1"/>
    <col min="13576" max="13824" width="9.140625" style="197"/>
    <col min="13825" max="13825" width="10.42578125" style="197" customWidth="1"/>
    <col min="13826" max="13826" width="37" style="197" customWidth="1"/>
    <col min="13827" max="13827" width="14.42578125" style="197" customWidth="1"/>
    <col min="13828" max="13828" width="12" style="197" customWidth="1"/>
    <col min="13829" max="13829" width="13.140625" style="197" customWidth="1"/>
    <col min="13830" max="13830" width="9.140625" style="197"/>
    <col min="13831" max="13831" width="22" style="197" customWidth="1"/>
    <col min="13832" max="14080" width="9.140625" style="197"/>
    <col min="14081" max="14081" width="10.42578125" style="197" customWidth="1"/>
    <col min="14082" max="14082" width="37" style="197" customWidth="1"/>
    <col min="14083" max="14083" width="14.42578125" style="197" customWidth="1"/>
    <col min="14084" max="14084" width="12" style="197" customWidth="1"/>
    <col min="14085" max="14085" width="13.140625" style="197" customWidth="1"/>
    <col min="14086" max="14086" width="9.140625" style="197"/>
    <col min="14087" max="14087" width="22" style="197" customWidth="1"/>
    <col min="14088" max="14336" width="9.140625" style="197"/>
    <col min="14337" max="14337" width="10.42578125" style="197" customWidth="1"/>
    <col min="14338" max="14338" width="37" style="197" customWidth="1"/>
    <col min="14339" max="14339" width="14.42578125" style="197" customWidth="1"/>
    <col min="14340" max="14340" width="12" style="197" customWidth="1"/>
    <col min="14341" max="14341" width="13.140625" style="197" customWidth="1"/>
    <col min="14342" max="14342" width="9.140625" style="197"/>
    <col min="14343" max="14343" width="22" style="197" customWidth="1"/>
    <col min="14344" max="14592" width="9.140625" style="197"/>
    <col min="14593" max="14593" width="10.42578125" style="197" customWidth="1"/>
    <col min="14594" max="14594" width="37" style="197" customWidth="1"/>
    <col min="14595" max="14595" width="14.42578125" style="197" customWidth="1"/>
    <col min="14596" max="14596" width="12" style="197" customWidth="1"/>
    <col min="14597" max="14597" width="13.140625" style="197" customWidth="1"/>
    <col min="14598" max="14598" width="9.140625" style="197"/>
    <col min="14599" max="14599" width="22" style="197" customWidth="1"/>
    <col min="14600" max="14848" width="9.140625" style="197"/>
    <col min="14849" max="14849" width="10.42578125" style="197" customWidth="1"/>
    <col min="14850" max="14850" width="37" style="197" customWidth="1"/>
    <col min="14851" max="14851" width="14.42578125" style="197" customWidth="1"/>
    <col min="14852" max="14852" width="12" style="197" customWidth="1"/>
    <col min="14853" max="14853" width="13.140625" style="197" customWidth="1"/>
    <col min="14854" max="14854" width="9.140625" style="197"/>
    <col min="14855" max="14855" width="22" style="197" customWidth="1"/>
    <col min="14856" max="15104" width="9.140625" style="197"/>
    <col min="15105" max="15105" width="10.42578125" style="197" customWidth="1"/>
    <col min="15106" max="15106" width="37" style="197" customWidth="1"/>
    <col min="15107" max="15107" width="14.42578125" style="197" customWidth="1"/>
    <col min="15108" max="15108" width="12" style="197" customWidth="1"/>
    <col min="15109" max="15109" width="13.140625" style="197" customWidth="1"/>
    <col min="15110" max="15110" width="9.140625" style="197"/>
    <col min="15111" max="15111" width="22" style="197" customWidth="1"/>
    <col min="15112" max="15360" width="9.140625" style="197"/>
    <col min="15361" max="15361" width="10.42578125" style="197" customWidth="1"/>
    <col min="15362" max="15362" width="37" style="197" customWidth="1"/>
    <col min="15363" max="15363" width="14.42578125" style="197" customWidth="1"/>
    <col min="15364" max="15364" width="12" style="197" customWidth="1"/>
    <col min="15365" max="15365" width="13.140625" style="197" customWidth="1"/>
    <col min="15366" max="15366" width="9.140625" style="197"/>
    <col min="15367" max="15367" width="22" style="197" customWidth="1"/>
    <col min="15368" max="15616" width="9.140625" style="197"/>
    <col min="15617" max="15617" width="10.42578125" style="197" customWidth="1"/>
    <col min="15618" max="15618" width="37" style="197" customWidth="1"/>
    <col min="15619" max="15619" width="14.42578125" style="197" customWidth="1"/>
    <col min="15620" max="15620" width="12" style="197" customWidth="1"/>
    <col min="15621" max="15621" width="13.140625" style="197" customWidth="1"/>
    <col min="15622" max="15622" width="9.140625" style="197"/>
    <col min="15623" max="15623" width="22" style="197" customWidth="1"/>
    <col min="15624" max="15872" width="9.140625" style="197"/>
    <col min="15873" max="15873" width="10.42578125" style="197" customWidth="1"/>
    <col min="15874" max="15874" width="37" style="197" customWidth="1"/>
    <col min="15875" max="15875" width="14.42578125" style="197" customWidth="1"/>
    <col min="15876" max="15876" width="12" style="197" customWidth="1"/>
    <col min="15877" max="15877" width="13.140625" style="197" customWidth="1"/>
    <col min="15878" max="15878" width="9.140625" style="197"/>
    <col min="15879" max="15879" width="22" style="197" customWidth="1"/>
    <col min="15880" max="16128" width="9.140625" style="197"/>
    <col min="16129" max="16129" width="10.42578125" style="197" customWidth="1"/>
    <col min="16130" max="16130" width="37" style="197" customWidth="1"/>
    <col min="16131" max="16131" width="14.42578125" style="197" customWidth="1"/>
    <col min="16132" max="16132" width="12" style="197" customWidth="1"/>
    <col min="16133" max="16133" width="13.140625" style="197" customWidth="1"/>
    <col min="16134" max="16134" width="9.140625" style="197"/>
    <col min="16135" max="16135" width="22" style="197" customWidth="1"/>
    <col min="16136" max="16384" width="9.140625" style="197"/>
  </cols>
  <sheetData>
    <row r="1" spans="1:7" hidden="1" x14ac:dyDescent="0.25"/>
    <row r="2" spans="1:7" ht="38.25" customHeight="1" x14ac:dyDescent="0.3">
      <c r="B2" s="199"/>
      <c r="C2" s="329" t="s">
        <v>433</v>
      </c>
      <c r="D2" s="329"/>
      <c r="E2" s="329"/>
    </row>
    <row r="3" spans="1:7" ht="18.75" x14ac:dyDescent="0.3">
      <c r="A3" s="200"/>
      <c r="B3" s="200"/>
      <c r="C3" s="201"/>
      <c r="D3" s="201"/>
    </row>
    <row r="4" spans="1:7" ht="24.75" customHeight="1" x14ac:dyDescent="0.25">
      <c r="A4" s="330" t="s">
        <v>374</v>
      </c>
      <c r="B4" s="330"/>
      <c r="C4" s="330"/>
      <c r="D4" s="330"/>
      <c r="E4" s="330"/>
      <c r="G4" s="182"/>
    </row>
    <row r="5" spans="1:7" ht="39" customHeight="1" x14ac:dyDescent="0.3">
      <c r="A5" s="323" t="s">
        <v>431</v>
      </c>
      <c r="B5" s="323"/>
      <c r="C5" s="323"/>
      <c r="D5" s="323"/>
      <c r="E5" s="323"/>
    </row>
    <row r="6" spans="1:7" ht="16.5" customHeight="1" x14ac:dyDescent="0.25">
      <c r="E6" s="202" t="s">
        <v>218</v>
      </c>
    </row>
    <row r="7" spans="1:7" ht="17.25" customHeight="1" x14ac:dyDescent="0.25">
      <c r="A7" s="331" t="s">
        <v>160</v>
      </c>
      <c r="B7" s="331" t="s">
        <v>1</v>
      </c>
      <c r="C7" s="331" t="s">
        <v>419</v>
      </c>
      <c r="D7" s="331"/>
      <c r="E7" s="331"/>
    </row>
    <row r="8" spans="1:7" ht="67.5" customHeight="1" x14ac:dyDescent="0.25">
      <c r="A8" s="331"/>
      <c r="B8" s="331"/>
      <c r="C8" s="203" t="s">
        <v>219</v>
      </c>
      <c r="D8" s="203" t="s">
        <v>220</v>
      </c>
      <c r="E8" s="204" t="s">
        <v>221</v>
      </c>
    </row>
    <row r="9" spans="1:7" x14ac:dyDescent="0.25">
      <c r="A9" s="204">
        <v>1</v>
      </c>
      <c r="B9" s="204">
        <v>2</v>
      </c>
      <c r="C9" s="205">
        <v>3</v>
      </c>
      <c r="D9" s="205">
        <v>4</v>
      </c>
      <c r="E9" s="205">
        <v>5</v>
      </c>
    </row>
    <row r="10" spans="1:7" x14ac:dyDescent="0.25">
      <c r="A10" s="177">
        <v>1</v>
      </c>
      <c r="B10" s="79" t="s">
        <v>5</v>
      </c>
      <c r="C10" s="206">
        <v>606.73</v>
      </c>
      <c r="D10" s="206">
        <f>C10</f>
        <v>606.73</v>
      </c>
      <c r="E10" s="206">
        <f t="shared" ref="E10:E16" si="0">C10-D10</f>
        <v>0</v>
      </c>
    </row>
    <row r="11" spans="1:7" x14ac:dyDescent="0.25">
      <c r="A11" s="207">
        <v>2</v>
      </c>
      <c r="B11" s="208" t="s">
        <v>52</v>
      </c>
      <c r="C11" s="206">
        <v>49.76</v>
      </c>
      <c r="D11" s="209">
        <f>C11</f>
        <v>49.76</v>
      </c>
      <c r="E11" s="206">
        <f t="shared" si="0"/>
        <v>0</v>
      </c>
    </row>
    <row r="12" spans="1:7" x14ac:dyDescent="0.25">
      <c r="A12" s="207">
        <v>3</v>
      </c>
      <c r="B12" s="208" t="s">
        <v>375</v>
      </c>
      <c r="C12" s="206">
        <v>0</v>
      </c>
      <c r="D12" s="209">
        <v>0</v>
      </c>
      <c r="E12" s="206">
        <f t="shared" si="0"/>
        <v>0</v>
      </c>
    </row>
    <row r="13" spans="1:7" ht="31.5" x14ac:dyDescent="0.25">
      <c r="A13" s="207">
        <v>4</v>
      </c>
      <c r="B13" s="79" t="s">
        <v>103</v>
      </c>
      <c r="C13" s="206">
        <f t="shared" ref="C13" si="1">D13</f>
        <v>0</v>
      </c>
      <c r="D13" s="209">
        <v>0</v>
      </c>
      <c r="E13" s="206">
        <f t="shared" si="0"/>
        <v>0</v>
      </c>
    </row>
    <row r="14" spans="1:7" ht="31.5" x14ac:dyDescent="0.25">
      <c r="A14" s="207">
        <v>5</v>
      </c>
      <c r="B14" s="79" t="s">
        <v>376</v>
      </c>
      <c r="C14" s="206">
        <v>0</v>
      </c>
      <c r="D14" s="210">
        <f>C14</f>
        <v>0</v>
      </c>
      <c r="E14" s="206">
        <f t="shared" si="0"/>
        <v>0</v>
      </c>
    </row>
    <row r="15" spans="1:7" ht="47.25" x14ac:dyDescent="0.25">
      <c r="A15" s="207">
        <v>6</v>
      </c>
      <c r="B15" s="79" t="s">
        <v>377</v>
      </c>
      <c r="C15" s="206">
        <v>0</v>
      </c>
      <c r="D15" s="210">
        <v>0</v>
      </c>
      <c r="E15" s="206">
        <f t="shared" si="0"/>
        <v>0</v>
      </c>
    </row>
    <row r="16" spans="1:7" ht="31.5" x14ac:dyDescent="0.25">
      <c r="A16" s="207">
        <v>7</v>
      </c>
      <c r="B16" s="79" t="s">
        <v>378</v>
      </c>
      <c r="C16" s="206">
        <v>0</v>
      </c>
      <c r="D16" s="209">
        <f>C16</f>
        <v>0</v>
      </c>
      <c r="E16" s="206">
        <f t="shared" si="0"/>
        <v>0</v>
      </c>
    </row>
    <row r="17" spans="1:5" x14ac:dyDescent="0.25">
      <c r="A17" s="211">
        <v>8</v>
      </c>
      <c r="B17" s="79" t="s">
        <v>379</v>
      </c>
      <c r="C17" s="209">
        <f>SUM(C10:C16)</f>
        <v>656.49</v>
      </c>
      <c r="D17" s="209">
        <f>SUM(D10:D16)</f>
        <v>656.49</v>
      </c>
      <c r="E17" s="209">
        <f>SUM(E10:E16)</f>
        <v>0</v>
      </c>
    </row>
  </sheetData>
  <mergeCells count="6">
    <mergeCell ref="C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J35" sqref="J35"/>
    </sheetView>
  </sheetViews>
  <sheetFormatPr defaultRowHeight="15" x14ac:dyDescent="0.2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 x14ac:dyDescent="0.25">
      <c r="A1" s="212"/>
      <c r="B1" s="212"/>
      <c r="C1" s="332" t="s">
        <v>380</v>
      </c>
      <c r="D1" s="332"/>
      <c r="E1" s="332"/>
    </row>
    <row r="2" spans="1:8" ht="18.75" x14ac:dyDescent="0.3">
      <c r="B2" s="213"/>
      <c r="C2" s="213"/>
      <c r="D2" s="213"/>
      <c r="E2" s="213"/>
    </row>
    <row r="3" spans="1:8" ht="18.75" x14ac:dyDescent="0.3">
      <c r="A3" s="333" t="s">
        <v>381</v>
      </c>
      <c r="B3" s="333"/>
      <c r="C3" s="333"/>
      <c r="D3" s="333"/>
      <c r="E3" s="333"/>
    </row>
    <row r="4" spans="1:8" ht="18.75" customHeight="1" x14ac:dyDescent="0.3">
      <c r="A4" s="323" t="s">
        <v>355</v>
      </c>
      <c r="B4" s="323"/>
      <c r="C4" s="323"/>
      <c r="D4" s="323"/>
      <c r="E4" s="323"/>
      <c r="F4" s="182" t="s">
        <v>382</v>
      </c>
      <c r="G4" s="183"/>
      <c r="H4" s="183"/>
    </row>
    <row r="5" spans="1:8" ht="18.75" x14ac:dyDescent="0.3">
      <c r="A5" s="334"/>
      <c r="B5" s="334"/>
      <c r="C5" s="334"/>
      <c r="D5" s="334"/>
      <c r="E5" s="334"/>
      <c r="F5" s="183"/>
      <c r="G5" s="183"/>
      <c r="H5" s="183"/>
    </row>
    <row r="6" spans="1:8" ht="18.75" x14ac:dyDescent="0.3">
      <c r="A6" s="214"/>
      <c r="B6" s="214"/>
      <c r="C6" s="214"/>
      <c r="D6" s="214"/>
      <c r="E6" s="214"/>
      <c r="F6" s="183"/>
      <c r="G6" s="183"/>
      <c r="H6" s="183"/>
    </row>
    <row r="7" spans="1:8" ht="15.75" customHeight="1" x14ac:dyDescent="0.25">
      <c r="A7" s="324" t="s">
        <v>160</v>
      </c>
      <c r="B7" s="324" t="s">
        <v>233</v>
      </c>
      <c r="C7" s="327" t="s">
        <v>383</v>
      </c>
      <c r="D7" s="328"/>
      <c r="E7" s="324" t="s">
        <v>221</v>
      </c>
    </row>
    <row r="8" spans="1:8" ht="15.75" x14ac:dyDescent="0.25">
      <c r="A8" s="326"/>
      <c r="B8" s="326"/>
      <c r="C8" s="185" t="s">
        <v>234</v>
      </c>
      <c r="D8" s="185" t="s">
        <v>220</v>
      </c>
      <c r="E8" s="326"/>
    </row>
    <row r="9" spans="1:8" s="77" customFormat="1" ht="15.75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94.5" x14ac:dyDescent="0.25">
      <c r="A10" s="185" t="s">
        <v>214</v>
      </c>
      <c r="B10" s="5" t="s">
        <v>235</v>
      </c>
      <c r="C10" s="189"/>
      <c r="D10" s="189"/>
      <c r="E10" s="189">
        <f t="shared" ref="E10:E15" si="0">+C10-D10</f>
        <v>0</v>
      </c>
    </row>
    <row r="11" spans="1:8" ht="15.75" x14ac:dyDescent="0.25">
      <c r="A11" s="185" t="s">
        <v>51</v>
      </c>
      <c r="B11" s="78" t="s">
        <v>131</v>
      </c>
      <c r="C11" s="6"/>
      <c r="D11" s="6"/>
      <c r="E11" s="189">
        <f t="shared" si="0"/>
        <v>0</v>
      </c>
    </row>
    <row r="12" spans="1:8" ht="15.75" x14ac:dyDescent="0.25">
      <c r="A12" s="185" t="s">
        <v>73</v>
      </c>
      <c r="B12" s="78" t="s">
        <v>132</v>
      </c>
      <c r="C12" s="71"/>
      <c r="D12" s="71"/>
      <c r="E12" s="189">
        <f t="shared" si="0"/>
        <v>0</v>
      </c>
    </row>
    <row r="13" spans="1:8" ht="19.149999999999999" hidden="1" customHeight="1" x14ac:dyDescent="0.25">
      <c r="A13" s="185">
        <v>4</v>
      </c>
      <c r="B13" s="215" t="s">
        <v>133</v>
      </c>
      <c r="C13" s="189"/>
      <c r="D13" s="189"/>
      <c r="E13" s="189">
        <f t="shared" si="0"/>
        <v>0</v>
      </c>
    </row>
    <row r="14" spans="1:8" ht="15.75" x14ac:dyDescent="0.25">
      <c r="A14" s="185" t="s">
        <v>112</v>
      </c>
      <c r="B14" s="215" t="s">
        <v>236</v>
      </c>
      <c r="C14" s="189"/>
      <c r="D14" s="189"/>
      <c r="E14" s="189">
        <f t="shared" si="0"/>
        <v>0</v>
      </c>
    </row>
    <row r="15" spans="1:8" ht="41.25" hidden="1" customHeight="1" x14ac:dyDescent="0.25">
      <c r="A15" s="185" t="s">
        <v>228</v>
      </c>
      <c r="B15" s="215" t="s">
        <v>384</v>
      </c>
      <c r="C15" s="189"/>
      <c r="D15" s="189"/>
      <c r="E15" s="189">
        <f t="shared" si="0"/>
        <v>0</v>
      </c>
    </row>
    <row r="16" spans="1:8" ht="30" hidden="1" customHeight="1" x14ac:dyDescent="0.25">
      <c r="A16" s="185" t="s">
        <v>120</v>
      </c>
      <c r="B16" s="5" t="s">
        <v>129</v>
      </c>
      <c r="C16" s="189"/>
      <c r="D16" s="189"/>
      <c r="E16" s="189">
        <f>SUM(E10:E15)</f>
        <v>0</v>
      </c>
    </row>
    <row r="17" ht="12.75" hidden="1" customHeight="1" x14ac:dyDescent="0.25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4" sqref="A4:E4"/>
    </sheetView>
  </sheetViews>
  <sheetFormatPr defaultRowHeight="12.75" outlineLevelCol="1" x14ac:dyDescent="0.2"/>
  <cols>
    <col min="1" max="1" width="7.42578125" style="216" customWidth="1"/>
    <col min="2" max="2" width="35.7109375" style="216" customWidth="1"/>
    <col min="3" max="3" width="14.140625" style="216" customWidth="1"/>
    <col min="4" max="4" width="14.140625" style="216" customWidth="1" outlineLevel="1"/>
    <col min="5" max="5" width="14.140625" style="216" customWidth="1"/>
    <col min="6" max="6" width="27.42578125" style="216" customWidth="1"/>
    <col min="7" max="256" width="9.140625" style="216"/>
    <col min="257" max="257" width="7.42578125" style="216" customWidth="1"/>
    <col min="258" max="258" width="38" style="216" customWidth="1"/>
    <col min="259" max="261" width="14.140625" style="216" customWidth="1"/>
    <col min="262" max="262" width="27.42578125" style="216" customWidth="1"/>
    <col min="263" max="512" width="9.140625" style="216"/>
    <col min="513" max="513" width="7.42578125" style="216" customWidth="1"/>
    <col min="514" max="514" width="38" style="216" customWidth="1"/>
    <col min="515" max="517" width="14.140625" style="216" customWidth="1"/>
    <col min="518" max="518" width="27.42578125" style="216" customWidth="1"/>
    <col min="519" max="768" width="9.140625" style="216"/>
    <col min="769" max="769" width="7.42578125" style="216" customWidth="1"/>
    <col min="770" max="770" width="38" style="216" customWidth="1"/>
    <col min="771" max="773" width="14.140625" style="216" customWidth="1"/>
    <col min="774" max="774" width="27.42578125" style="216" customWidth="1"/>
    <col min="775" max="1024" width="9.140625" style="216"/>
    <col min="1025" max="1025" width="7.42578125" style="216" customWidth="1"/>
    <col min="1026" max="1026" width="38" style="216" customWidth="1"/>
    <col min="1027" max="1029" width="14.140625" style="216" customWidth="1"/>
    <col min="1030" max="1030" width="27.42578125" style="216" customWidth="1"/>
    <col min="1031" max="1280" width="9.140625" style="216"/>
    <col min="1281" max="1281" width="7.42578125" style="216" customWidth="1"/>
    <col min="1282" max="1282" width="38" style="216" customWidth="1"/>
    <col min="1283" max="1285" width="14.140625" style="216" customWidth="1"/>
    <col min="1286" max="1286" width="27.42578125" style="216" customWidth="1"/>
    <col min="1287" max="1536" width="9.140625" style="216"/>
    <col min="1537" max="1537" width="7.42578125" style="216" customWidth="1"/>
    <col min="1538" max="1538" width="38" style="216" customWidth="1"/>
    <col min="1539" max="1541" width="14.140625" style="216" customWidth="1"/>
    <col min="1542" max="1542" width="27.42578125" style="216" customWidth="1"/>
    <col min="1543" max="1792" width="9.140625" style="216"/>
    <col min="1793" max="1793" width="7.42578125" style="216" customWidth="1"/>
    <col min="1794" max="1794" width="38" style="216" customWidth="1"/>
    <col min="1795" max="1797" width="14.140625" style="216" customWidth="1"/>
    <col min="1798" max="1798" width="27.42578125" style="216" customWidth="1"/>
    <col min="1799" max="2048" width="9.140625" style="216"/>
    <col min="2049" max="2049" width="7.42578125" style="216" customWidth="1"/>
    <col min="2050" max="2050" width="38" style="216" customWidth="1"/>
    <col min="2051" max="2053" width="14.140625" style="216" customWidth="1"/>
    <col min="2054" max="2054" width="27.42578125" style="216" customWidth="1"/>
    <col min="2055" max="2304" width="9.140625" style="216"/>
    <col min="2305" max="2305" width="7.42578125" style="216" customWidth="1"/>
    <col min="2306" max="2306" width="38" style="216" customWidth="1"/>
    <col min="2307" max="2309" width="14.140625" style="216" customWidth="1"/>
    <col min="2310" max="2310" width="27.42578125" style="216" customWidth="1"/>
    <col min="2311" max="2560" width="9.140625" style="216"/>
    <col min="2561" max="2561" width="7.42578125" style="216" customWidth="1"/>
    <col min="2562" max="2562" width="38" style="216" customWidth="1"/>
    <col min="2563" max="2565" width="14.140625" style="216" customWidth="1"/>
    <col min="2566" max="2566" width="27.42578125" style="216" customWidth="1"/>
    <col min="2567" max="2816" width="9.140625" style="216"/>
    <col min="2817" max="2817" width="7.42578125" style="216" customWidth="1"/>
    <col min="2818" max="2818" width="38" style="216" customWidth="1"/>
    <col min="2819" max="2821" width="14.140625" style="216" customWidth="1"/>
    <col min="2822" max="2822" width="27.42578125" style="216" customWidth="1"/>
    <col min="2823" max="3072" width="9.140625" style="216"/>
    <col min="3073" max="3073" width="7.42578125" style="216" customWidth="1"/>
    <col min="3074" max="3074" width="38" style="216" customWidth="1"/>
    <col min="3075" max="3077" width="14.140625" style="216" customWidth="1"/>
    <col min="3078" max="3078" width="27.42578125" style="216" customWidth="1"/>
    <col min="3079" max="3328" width="9.140625" style="216"/>
    <col min="3329" max="3329" width="7.42578125" style="216" customWidth="1"/>
    <col min="3330" max="3330" width="38" style="216" customWidth="1"/>
    <col min="3331" max="3333" width="14.140625" style="216" customWidth="1"/>
    <col min="3334" max="3334" width="27.42578125" style="216" customWidth="1"/>
    <col min="3335" max="3584" width="9.140625" style="216"/>
    <col min="3585" max="3585" width="7.42578125" style="216" customWidth="1"/>
    <col min="3586" max="3586" width="38" style="216" customWidth="1"/>
    <col min="3587" max="3589" width="14.140625" style="216" customWidth="1"/>
    <col min="3590" max="3590" width="27.42578125" style="216" customWidth="1"/>
    <col min="3591" max="3840" width="9.140625" style="216"/>
    <col min="3841" max="3841" width="7.42578125" style="216" customWidth="1"/>
    <col min="3842" max="3842" width="38" style="216" customWidth="1"/>
    <col min="3843" max="3845" width="14.140625" style="216" customWidth="1"/>
    <col min="3846" max="3846" width="27.42578125" style="216" customWidth="1"/>
    <col min="3847" max="4096" width="9.140625" style="216"/>
    <col min="4097" max="4097" width="7.42578125" style="216" customWidth="1"/>
    <col min="4098" max="4098" width="38" style="216" customWidth="1"/>
    <col min="4099" max="4101" width="14.140625" style="216" customWidth="1"/>
    <col min="4102" max="4102" width="27.42578125" style="216" customWidth="1"/>
    <col min="4103" max="4352" width="9.140625" style="216"/>
    <col min="4353" max="4353" width="7.42578125" style="216" customWidth="1"/>
    <col min="4354" max="4354" width="38" style="216" customWidth="1"/>
    <col min="4355" max="4357" width="14.140625" style="216" customWidth="1"/>
    <col min="4358" max="4358" width="27.42578125" style="216" customWidth="1"/>
    <col min="4359" max="4608" width="9.140625" style="216"/>
    <col min="4609" max="4609" width="7.42578125" style="216" customWidth="1"/>
    <col min="4610" max="4610" width="38" style="216" customWidth="1"/>
    <col min="4611" max="4613" width="14.140625" style="216" customWidth="1"/>
    <col min="4614" max="4614" width="27.42578125" style="216" customWidth="1"/>
    <col min="4615" max="4864" width="9.140625" style="216"/>
    <col min="4865" max="4865" width="7.42578125" style="216" customWidth="1"/>
    <col min="4866" max="4866" width="38" style="216" customWidth="1"/>
    <col min="4867" max="4869" width="14.140625" style="216" customWidth="1"/>
    <col min="4870" max="4870" width="27.42578125" style="216" customWidth="1"/>
    <col min="4871" max="5120" width="9.140625" style="216"/>
    <col min="5121" max="5121" width="7.42578125" style="216" customWidth="1"/>
    <col min="5122" max="5122" width="38" style="216" customWidth="1"/>
    <col min="5123" max="5125" width="14.140625" style="216" customWidth="1"/>
    <col min="5126" max="5126" width="27.42578125" style="216" customWidth="1"/>
    <col min="5127" max="5376" width="9.140625" style="216"/>
    <col min="5377" max="5377" width="7.42578125" style="216" customWidth="1"/>
    <col min="5378" max="5378" width="38" style="216" customWidth="1"/>
    <col min="5379" max="5381" width="14.140625" style="216" customWidth="1"/>
    <col min="5382" max="5382" width="27.42578125" style="216" customWidth="1"/>
    <col min="5383" max="5632" width="9.140625" style="216"/>
    <col min="5633" max="5633" width="7.42578125" style="216" customWidth="1"/>
    <col min="5634" max="5634" width="38" style="216" customWidth="1"/>
    <col min="5635" max="5637" width="14.140625" style="216" customWidth="1"/>
    <col min="5638" max="5638" width="27.42578125" style="216" customWidth="1"/>
    <col min="5639" max="5888" width="9.140625" style="216"/>
    <col min="5889" max="5889" width="7.42578125" style="216" customWidth="1"/>
    <col min="5890" max="5890" width="38" style="216" customWidth="1"/>
    <col min="5891" max="5893" width="14.140625" style="216" customWidth="1"/>
    <col min="5894" max="5894" width="27.42578125" style="216" customWidth="1"/>
    <col min="5895" max="6144" width="9.140625" style="216"/>
    <col min="6145" max="6145" width="7.42578125" style="216" customWidth="1"/>
    <col min="6146" max="6146" width="38" style="216" customWidth="1"/>
    <col min="6147" max="6149" width="14.140625" style="216" customWidth="1"/>
    <col min="6150" max="6150" width="27.42578125" style="216" customWidth="1"/>
    <col min="6151" max="6400" width="9.140625" style="216"/>
    <col min="6401" max="6401" width="7.42578125" style="216" customWidth="1"/>
    <col min="6402" max="6402" width="38" style="216" customWidth="1"/>
    <col min="6403" max="6405" width="14.140625" style="216" customWidth="1"/>
    <col min="6406" max="6406" width="27.42578125" style="216" customWidth="1"/>
    <col min="6407" max="6656" width="9.140625" style="216"/>
    <col min="6657" max="6657" width="7.42578125" style="216" customWidth="1"/>
    <col min="6658" max="6658" width="38" style="216" customWidth="1"/>
    <col min="6659" max="6661" width="14.140625" style="216" customWidth="1"/>
    <col min="6662" max="6662" width="27.42578125" style="216" customWidth="1"/>
    <col min="6663" max="6912" width="9.140625" style="216"/>
    <col min="6913" max="6913" width="7.42578125" style="216" customWidth="1"/>
    <col min="6914" max="6914" width="38" style="216" customWidth="1"/>
    <col min="6915" max="6917" width="14.140625" style="216" customWidth="1"/>
    <col min="6918" max="6918" width="27.42578125" style="216" customWidth="1"/>
    <col min="6919" max="7168" width="9.140625" style="216"/>
    <col min="7169" max="7169" width="7.42578125" style="216" customWidth="1"/>
    <col min="7170" max="7170" width="38" style="216" customWidth="1"/>
    <col min="7171" max="7173" width="14.140625" style="216" customWidth="1"/>
    <col min="7174" max="7174" width="27.42578125" style="216" customWidth="1"/>
    <col min="7175" max="7424" width="9.140625" style="216"/>
    <col min="7425" max="7425" width="7.42578125" style="216" customWidth="1"/>
    <col min="7426" max="7426" width="38" style="216" customWidth="1"/>
    <col min="7427" max="7429" width="14.140625" style="216" customWidth="1"/>
    <col min="7430" max="7430" width="27.42578125" style="216" customWidth="1"/>
    <col min="7431" max="7680" width="9.140625" style="216"/>
    <col min="7681" max="7681" width="7.42578125" style="216" customWidth="1"/>
    <col min="7682" max="7682" width="38" style="216" customWidth="1"/>
    <col min="7683" max="7685" width="14.140625" style="216" customWidth="1"/>
    <col min="7686" max="7686" width="27.42578125" style="216" customWidth="1"/>
    <col min="7687" max="7936" width="9.140625" style="216"/>
    <col min="7937" max="7937" width="7.42578125" style="216" customWidth="1"/>
    <col min="7938" max="7938" width="38" style="216" customWidth="1"/>
    <col min="7939" max="7941" width="14.140625" style="216" customWidth="1"/>
    <col min="7942" max="7942" width="27.42578125" style="216" customWidth="1"/>
    <col min="7943" max="8192" width="9.140625" style="216"/>
    <col min="8193" max="8193" width="7.42578125" style="216" customWidth="1"/>
    <col min="8194" max="8194" width="38" style="216" customWidth="1"/>
    <col min="8195" max="8197" width="14.140625" style="216" customWidth="1"/>
    <col min="8198" max="8198" width="27.42578125" style="216" customWidth="1"/>
    <col min="8199" max="8448" width="9.140625" style="216"/>
    <col min="8449" max="8449" width="7.42578125" style="216" customWidth="1"/>
    <col min="8450" max="8450" width="38" style="216" customWidth="1"/>
    <col min="8451" max="8453" width="14.140625" style="216" customWidth="1"/>
    <col min="8454" max="8454" width="27.42578125" style="216" customWidth="1"/>
    <col min="8455" max="8704" width="9.140625" style="216"/>
    <col min="8705" max="8705" width="7.42578125" style="216" customWidth="1"/>
    <col min="8706" max="8706" width="38" style="216" customWidth="1"/>
    <col min="8707" max="8709" width="14.140625" style="216" customWidth="1"/>
    <col min="8710" max="8710" width="27.42578125" style="216" customWidth="1"/>
    <col min="8711" max="8960" width="9.140625" style="216"/>
    <col min="8961" max="8961" width="7.42578125" style="216" customWidth="1"/>
    <col min="8962" max="8962" width="38" style="216" customWidth="1"/>
    <col min="8963" max="8965" width="14.140625" style="216" customWidth="1"/>
    <col min="8966" max="8966" width="27.42578125" style="216" customWidth="1"/>
    <col min="8967" max="9216" width="9.140625" style="216"/>
    <col min="9217" max="9217" width="7.42578125" style="216" customWidth="1"/>
    <col min="9218" max="9218" width="38" style="216" customWidth="1"/>
    <col min="9219" max="9221" width="14.140625" style="216" customWidth="1"/>
    <col min="9222" max="9222" width="27.42578125" style="216" customWidth="1"/>
    <col min="9223" max="9472" width="9.140625" style="216"/>
    <col min="9473" max="9473" width="7.42578125" style="216" customWidth="1"/>
    <col min="9474" max="9474" width="38" style="216" customWidth="1"/>
    <col min="9475" max="9477" width="14.140625" style="216" customWidth="1"/>
    <col min="9478" max="9478" width="27.42578125" style="216" customWidth="1"/>
    <col min="9479" max="9728" width="9.140625" style="216"/>
    <col min="9729" max="9729" width="7.42578125" style="216" customWidth="1"/>
    <col min="9730" max="9730" width="38" style="216" customWidth="1"/>
    <col min="9731" max="9733" width="14.140625" style="216" customWidth="1"/>
    <col min="9734" max="9734" width="27.42578125" style="216" customWidth="1"/>
    <col min="9735" max="9984" width="9.140625" style="216"/>
    <col min="9985" max="9985" width="7.42578125" style="216" customWidth="1"/>
    <col min="9986" max="9986" width="38" style="216" customWidth="1"/>
    <col min="9987" max="9989" width="14.140625" style="216" customWidth="1"/>
    <col min="9990" max="9990" width="27.42578125" style="216" customWidth="1"/>
    <col min="9991" max="10240" width="9.140625" style="216"/>
    <col min="10241" max="10241" width="7.42578125" style="216" customWidth="1"/>
    <col min="10242" max="10242" width="38" style="216" customWidth="1"/>
    <col min="10243" max="10245" width="14.140625" style="216" customWidth="1"/>
    <col min="10246" max="10246" width="27.42578125" style="216" customWidth="1"/>
    <col min="10247" max="10496" width="9.140625" style="216"/>
    <col min="10497" max="10497" width="7.42578125" style="216" customWidth="1"/>
    <col min="10498" max="10498" width="38" style="216" customWidth="1"/>
    <col min="10499" max="10501" width="14.140625" style="216" customWidth="1"/>
    <col min="10502" max="10502" width="27.42578125" style="216" customWidth="1"/>
    <col min="10503" max="10752" width="9.140625" style="216"/>
    <col min="10753" max="10753" width="7.42578125" style="216" customWidth="1"/>
    <col min="10754" max="10754" width="38" style="216" customWidth="1"/>
    <col min="10755" max="10757" width="14.140625" style="216" customWidth="1"/>
    <col min="10758" max="10758" width="27.42578125" style="216" customWidth="1"/>
    <col min="10759" max="11008" width="9.140625" style="216"/>
    <col min="11009" max="11009" width="7.42578125" style="216" customWidth="1"/>
    <col min="11010" max="11010" width="38" style="216" customWidth="1"/>
    <col min="11011" max="11013" width="14.140625" style="216" customWidth="1"/>
    <col min="11014" max="11014" width="27.42578125" style="216" customWidth="1"/>
    <col min="11015" max="11264" width="9.140625" style="216"/>
    <col min="11265" max="11265" width="7.42578125" style="216" customWidth="1"/>
    <col min="11266" max="11266" width="38" style="216" customWidth="1"/>
    <col min="11267" max="11269" width="14.140625" style="216" customWidth="1"/>
    <col min="11270" max="11270" width="27.42578125" style="216" customWidth="1"/>
    <col min="11271" max="11520" width="9.140625" style="216"/>
    <col min="11521" max="11521" width="7.42578125" style="216" customWidth="1"/>
    <col min="11522" max="11522" width="38" style="216" customWidth="1"/>
    <col min="11523" max="11525" width="14.140625" style="216" customWidth="1"/>
    <col min="11526" max="11526" width="27.42578125" style="216" customWidth="1"/>
    <col min="11527" max="11776" width="9.140625" style="216"/>
    <col min="11777" max="11777" width="7.42578125" style="216" customWidth="1"/>
    <col min="11778" max="11778" width="38" style="216" customWidth="1"/>
    <col min="11779" max="11781" width="14.140625" style="216" customWidth="1"/>
    <col min="11782" max="11782" width="27.42578125" style="216" customWidth="1"/>
    <col min="11783" max="12032" width="9.140625" style="216"/>
    <col min="12033" max="12033" width="7.42578125" style="216" customWidth="1"/>
    <col min="12034" max="12034" width="38" style="216" customWidth="1"/>
    <col min="12035" max="12037" width="14.140625" style="216" customWidth="1"/>
    <col min="12038" max="12038" width="27.42578125" style="216" customWidth="1"/>
    <col min="12039" max="12288" width="9.140625" style="216"/>
    <col min="12289" max="12289" width="7.42578125" style="216" customWidth="1"/>
    <col min="12290" max="12290" width="38" style="216" customWidth="1"/>
    <col min="12291" max="12293" width="14.140625" style="216" customWidth="1"/>
    <col min="12294" max="12294" width="27.42578125" style="216" customWidth="1"/>
    <col min="12295" max="12544" width="9.140625" style="216"/>
    <col min="12545" max="12545" width="7.42578125" style="216" customWidth="1"/>
    <col min="12546" max="12546" width="38" style="216" customWidth="1"/>
    <col min="12547" max="12549" width="14.140625" style="216" customWidth="1"/>
    <col min="12550" max="12550" width="27.42578125" style="216" customWidth="1"/>
    <col min="12551" max="12800" width="9.140625" style="216"/>
    <col min="12801" max="12801" width="7.42578125" style="216" customWidth="1"/>
    <col min="12802" max="12802" width="38" style="216" customWidth="1"/>
    <col min="12803" max="12805" width="14.140625" style="216" customWidth="1"/>
    <col min="12806" max="12806" width="27.42578125" style="216" customWidth="1"/>
    <col min="12807" max="13056" width="9.140625" style="216"/>
    <col min="13057" max="13057" width="7.42578125" style="216" customWidth="1"/>
    <col min="13058" max="13058" width="38" style="216" customWidth="1"/>
    <col min="13059" max="13061" width="14.140625" style="216" customWidth="1"/>
    <col min="13062" max="13062" width="27.42578125" style="216" customWidth="1"/>
    <col min="13063" max="13312" width="9.140625" style="216"/>
    <col min="13313" max="13313" width="7.42578125" style="216" customWidth="1"/>
    <col min="13314" max="13314" width="38" style="216" customWidth="1"/>
    <col min="13315" max="13317" width="14.140625" style="216" customWidth="1"/>
    <col min="13318" max="13318" width="27.42578125" style="216" customWidth="1"/>
    <col min="13319" max="13568" width="9.140625" style="216"/>
    <col min="13569" max="13569" width="7.42578125" style="216" customWidth="1"/>
    <col min="13570" max="13570" width="38" style="216" customWidth="1"/>
    <col min="13571" max="13573" width="14.140625" style="216" customWidth="1"/>
    <col min="13574" max="13574" width="27.42578125" style="216" customWidth="1"/>
    <col min="13575" max="13824" width="9.140625" style="216"/>
    <col min="13825" max="13825" width="7.42578125" style="216" customWidth="1"/>
    <col min="13826" max="13826" width="38" style="216" customWidth="1"/>
    <col min="13827" max="13829" width="14.140625" style="216" customWidth="1"/>
    <col min="13830" max="13830" width="27.42578125" style="216" customWidth="1"/>
    <col min="13831" max="14080" width="9.140625" style="216"/>
    <col min="14081" max="14081" width="7.42578125" style="216" customWidth="1"/>
    <col min="14082" max="14082" width="38" style="216" customWidth="1"/>
    <col min="14083" max="14085" width="14.140625" style="216" customWidth="1"/>
    <col min="14086" max="14086" width="27.42578125" style="216" customWidth="1"/>
    <col min="14087" max="14336" width="9.140625" style="216"/>
    <col min="14337" max="14337" width="7.42578125" style="216" customWidth="1"/>
    <col min="14338" max="14338" width="38" style="216" customWidth="1"/>
    <col min="14339" max="14341" width="14.140625" style="216" customWidth="1"/>
    <col min="14342" max="14342" width="27.42578125" style="216" customWidth="1"/>
    <col min="14343" max="14592" width="9.140625" style="216"/>
    <col min="14593" max="14593" width="7.42578125" style="216" customWidth="1"/>
    <col min="14594" max="14594" width="38" style="216" customWidth="1"/>
    <col min="14595" max="14597" width="14.140625" style="216" customWidth="1"/>
    <col min="14598" max="14598" width="27.42578125" style="216" customWidth="1"/>
    <col min="14599" max="14848" width="9.140625" style="216"/>
    <col min="14849" max="14849" width="7.42578125" style="216" customWidth="1"/>
    <col min="14850" max="14850" width="38" style="216" customWidth="1"/>
    <col min="14851" max="14853" width="14.140625" style="216" customWidth="1"/>
    <col min="14854" max="14854" width="27.42578125" style="216" customWidth="1"/>
    <col min="14855" max="15104" width="9.140625" style="216"/>
    <col min="15105" max="15105" width="7.42578125" style="216" customWidth="1"/>
    <col min="15106" max="15106" width="38" style="216" customWidth="1"/>
    <col min="15107" max="15109" width="14.140625" style="216" customWidth="1"/>
    <col min="15110" max="15110" width="27.42578125" style="216" customWidth="1"/>
    <col min="15111" max="15360" width="9.140625" style="216"/>
    <col min="15361" max="15361" width="7.42578125" style="216" customWidth="1"/>
    <col min="15362" max="15362" width="38" style="216" customWidth="1"/>
    <col min="15363" max="15365" width="14.140625" style="216" customWidth="1"/>
    <col min="15366" max="15366" width="27.42578125" style="216" customWidth="1"/>
    <col min="15367" max="15616" width="9.140625" style="216"/>
    <col min="15617" max="15617" width="7.42578125" style="216" customWidth="1"/>
    <col min="15618" max="15618" width="38" style="216" customWidth="1"/>
    <col min="15619" max="15621" width="14.140625" style="216" customWidth="1"/>
    <col min="15622" max="15622" width="27.42578125" style="216" customWidth="1"/>
    <col min="15623" max="15872" width="9.140625" style="216"/>
    <col min="15873" max="15873" width="7.42578125" style="216" customWidth="1"/>
    <col min="15874" max="15874" width="38" style="216" customWidth="1"/>
    <col min="15875" max="15877" width="14.140625" style="216" customWidth="1"/>
    <col min="15878" max="15878" width="27.42578125" style="216" customWidth="1"/>
    <col min="15879" max="16128" width="9.140625" style="216"/>
    <col min="16129" max="16129" width="7.42578125" style="216" customWidth="1"/>
    <col min="16130" max="16130" width="38" style="216" customWidth="1"/>
    <col min="16131" max="16133" width="14.140625" style="216" customWidth="1"/>
    <col min="16134" max="16134" width="27.42578125" style="216" customWidth="1"/>
    <col min="16135" max="16384" width="9.140625" style="216"/>
  </cols>
  <sheetData>
    <row r="1" spans="1:6" ht="37.5" customHeight="1" x14ac:dyDescent="0.3">
      <c r="B1" s="217"/>
      <c r="C1" s="335" t="s">
        <v>434</v>
      </c>
      <c r="D1" s="335"/>
      <c r="E1" s="335"/>
    </row>
    <row r="2" spans="1:6" ht="18.75" x14ac:dyDescent="0.3">
      <c r="A2" s="218"/>
      <c r="B2" s="219"/>
      <c r="C2" s="218"/>
      <c r="D2" s="218"/>
      <c r="E2" s="218"/>
      <c r="F2" s="182"/>
    </row>
    <row r="3" spans="1:6" ht="18.75" x14ac:dyDescent="0.2">
      <c r="A3" s="336" t="s">
        <v>385</v>
      </c>
      <c r="B3" s="336"/>
      <c r="C3" s="336"/>
      <c r="D3" s="336"/>
      <c r="E3" s="336"/>
      <c r="F3" s="220"/>
    </row>
    <row r="4" spans="1:6" ht="39" customHeight="1" x14ac:dyDescent="0.3">
      <c r="A4" s="323" t="s">
        <v>431</v>
      </c>
      <c r="B4" s="323"/>
      <c r="C4" s="323"/>
      <c r="D4" s="323"/>
      <c r="E4" s="323"/>
    </row>
    <row r="5" spans="1:6" ht="18.75" x14ac:dyDescent="0.3">
      <c r="A5" s="178"/>
      <c r="B5" s="178"/>
      <c r="C5" s="178"/>
      <c r="D5" s="178"/>
      <c r="E5" s="178"/>
    </row>
    <row r="6" spans="1:6" x14ac:dyDescent="0.2">
      <c r="A6" s="337" t="s">
        <v>160</v>
      </c>
      <c r="B6" s="337" t="s">
        <v>238</v>
      </c>
      <c r="C6" s="337" t="s">
        <v>239</v>
      </c>
      <c r="D6" s="337" t="s">
        <v>386</v>
      </c>
      <c r="E6" s="337" t="s">
        <v>387</v>
      </c>
    </row>
    <row r="7" spans="1:6" ht="15" customHeight="1" x14ac:dyDescent="0.2">
      <c r="A7" s="337"/>
      <c r="B7" s="337"/>
      <c r="C7" s="337"/>
      <c r="D7" s="337"/>
      <c r="E7" s="337"/>
    </row>
    <row r="8" spans="1:6" ht="15" customHeight="1" x14ac:dyDescent="0.2">
      <c r="A8" s="221">
        <v>1</v>
      </c>
      <c r="B8" s="221">
        <v>2</v>
      </c>
      <c r="C8" s="221">
        <v>3</v>
      </c>
      <c r="D8" s="221">
        <v>4</v>
      </c>
      <c r="E8" s="221">
        <v>5</v>
      </c>
    </row>
    <row r="9" spans="1:6" ht="47.25" x14ac:dyDescent="0.2">
      <c r="A9" s="221">
        <v>1</v>
      </c>
      <c r="B9" s="222" t="s">
        <v>241</v>
      </c>
      <c r="C9" s="221" t="s">
        <v>242</v>
      </c>
      <c r="D9" s="223">
        <v>0</v>
      </c>
      <c r="E9" s="223">
        <v>239</v>
      </c>
    </row>
    <row r="10" spans="1:6" ht="31.5" x14ac:dyDescent="0.2">
      <c r="A10" s="221">
        <f t="shared" ref="A10" si="0">A9+1</f>
        <v>2</v>
      </c>
      <c r="B10" s="222" t="s">
        <v>243</v>
      </c>
      <c r="C10" s="221" t="s">
        <v>244</v>
      </c>
      <c r="D10" s="223">
        <v>0</v>
      </c>
      <c r="E10" s="223">
        <v>8760</v>
      </c>
    </row>
    <row r="11" spans="1:6" ht="15.75" hidden="1" customHeight="1" x14ac:dyDescent="0.2">
      <c r="A11" s="221">
        <v>7</v>
      </c>
      <c r="B11" s="222" t="s">
        <v>246</v>
      </c>
      <c r="C11" s="221" t="s">
        <v>240</v>
      </c>
      <c r="D11" s="297"/>
      <c r="E11" s="223"/>
    </row>
  </sheetData>
  <mergeCells count="8">
    <mergeCell ref="A4:E4"/>
    <mergeCell ref="C1:E1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1"/>
  <sheetViews>
    <sheetView workbookViewId="0">
      <selection activeCell="D7" sqref="D7:D8"/>
    </sheetView>
  </sheetViews>
  <sheetFormatPr defaultRowHeight="15" x14ac:dyDescent="0.2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273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 x14ac:dyDescent="0.3">
      <c r="A1" s="224"/>
      <c r="B1" s="322" t="s">
        <v>388</v>
      </c>
      <c r="C1" s="322"/>
      <c r="D1" s="322"/>
      <c r="E1" s="322"/>
      <c r="F1" s="322"/>
      <c r="G1" s="322"/>
      <c r="H1" s="322"/>
      <c r="I1" s="225"/>
      <c r="J1" s="225"/>
      <c r="L1" s="226" t="s">
        <v>389</v>
      </c>
      <c r="M1" s="226"/>
      <c r="N1" s="226"/>
    </row>
    <row r="2" spans="1:14" ht="18.75" hidden="1" x14ac:dyDescent="0.3">
      <c r="A2" s="224"/>
      <c r="B2" s="224"/>
      <c r="C2" s="224"/>
      <c r="D2" s="224"/>
      <c r="E2" s="227"/>
      <c r="F2" s="224"/>
      <c r="G2" s="224"/>
      <c r="H2" s="224"/>
    </row>
    <row r="3" spans="1:14" ht="48" customHeight="1" x14ac:dyDescent="0.25">
      <c r="A3" s="322" t="s">
        <v>390</v>
      </c>
      <c r="B3" s="322"/>
      <c r="C3" s="322"/>
      <c r="D3" s="322"/>
      <c r="E3" s="322"/>
      <c r="F3" s="322"/>
      <c r="G3" s="322"/>
      <c r="H3" s="322"/>
    </row>
    <row r="4" spans="1:14" ht="18.75" x14ac:dyDescent="0.3">
      <c r="A4" s="338" t="s">
        <v>391</v>
      </c>
      <c r="B4" s="338"/>
      <c r="C4" s="338"/>
      <c r="D4" s="338"/>
      <c r="E4" s="338"/>
      <c r="F4" s="338"/>
      <c r="G4" s="338"/>
      <c r="H4" s="338"/>
    </row>
    <row r="5" spans="1:14" ht="18.75" x14ac:dyDescent="0.3">
      <c r="A5" s="338" t="s">
        <v>392</v>
      </c>
      <c r="B5" s="338"/>
      <c r="C5" s="338"/>
      <c r="D5" s="338"/>
      <c r="E5" s="338"/>
      <c r="F5" s="338"/>
      <c r="G5" s="338"/>
      <c r="H5" s="179"/>
    </row>
    <row r="6" spans="1:14" ht="19.5" thickBot="1" x14ac:dyDescent="0.35">
      <c r="B6" s="179"/>
      <c r="C6" s="179"/>
      <c r="D6" s="179"/>
      <c r="E6" s="179"/>
      <c r="F6" s="179"/>
      <c r="H6" s="228" t="s">
        <v>218</v>
      </c>
    </row>
    <row r="7" spans="1:14" ht="84.6" customHeight="1" x14ac:dyDescent="0.25">
      <c r="A7" s="341" t="s">
        <v>160</v>
      </c>
      <c r="B7" s="343" t="s">
        <v>1</v>
      </c>
      <c r="C7" s="339" t="s">
        <v>393</v>
      </c>
      <c r="D7" s="339" t="s">
        <v>394</v>
      </c>
      <c r="E7" s="339" t="s">
        <v>248</v>
      </c>
      <c r="F7" s="339" t="s">
        <v>395</v>
      </c>
      <c r="G7" s="339" t="s">
        <v>396</v>
      </c>
      <c r="H7" s="339" t="s">
        <v>397</v>
      </c>
      <c r="I7" s="229" t="s">
        <v>398</v>
      </c>
      <c r="J7" s="230" t="s">
        <v>399</v>
      </c>
      <c r="K7" s="231" t="s">
        <v>400</v>
      </c>
    </row>
    <row r="8" spans="1:14" ht="16.899999999999999" customHeight="1" x14ac:dyDescent="0.25">
      <c r="A8" s="342"/>
      <c r="B8" s="344"/>
      <c r="C8" s="340"/>
      <c r="D8" s="340"/>
      <c r="E8" s="340"/>
      <c r="F8" s="340"/>
      <c r="G8" s="340"/>
      <c r="H8" s="340"/>
      <c r="I8" s="232"/>
      <c r="J8" s="233"/>
      <c r="K8" s="234"/>
    </row>
    <row r="9" spans="1:14" s="1" customFormat="1" ht="21" customHeight="1" x14ac:dyDescent="0.2">
      <c r="A9" s="71">
        <v>1</v>
      </c>
      <c r="B9" s="71">
        <v>2</v>
      </c>
      <c r="C9" s="71">
        <v>3</v>
      </c>
      <c r="D9" s="71">
        <v>4</v>
      </c>
      <c r="E9" s="235"/>
      <c r="F9" s="236"/>
      <c r="G9" s="71">
        <v>5</v>
      </c>
      <c r="H9" s="237">
        <v>6</v>
      </c>
      <c r="I9" s="238" t="e">
        <f>I10+I11+I24+I25+I30+I32+I33+I41</f>
        <v>#REF!</v>
      </c>
      <c r="J9" s="71" t="e">
        <f>J10+J11+J24+J25+J30+J32+J33+J41</f>
        <v>#REF!</v>
      </c>
      <c r="K9" s="239" t="e">
        <f>K10+K11+K24+K25+K30+K32+K33+K41</f>
        <v>#REF!</v>
      </c>
    </row>
    <row r="10" spans="1:14" ht="34.15" customHeight="1" x14ac:dyDescent="0.25">
      <c r="A10" s="71">
        <v>1</v>
      </c>
      <c r="B10" s="5" t="s">
        <v>5</v>
      </c>
      <c r="C10" s="5"/>
      <c r="D10" s="6"/>
      <c r="E10" s="71"/>
      <c r="F10" s="71"/>
      <c r="G10" s="71"/>
      <c r="H10" s="240" t="e">
        <f>G10/D10</f>
        <v>#DIV/0!</v>
      </c>
      <c r="I10" s="241"/>
      <c r="J10" s="71"/>
      <c r="K10" s="239"/>
    </row>
    <row r="11" spans="1:14" ht="39.75" hidden="1" customHeight="1" x14ac:dyDescent="0.25">
      <c r="A11" s="71" t="s">
        <v>6</v>
      </c>
      <c r="B11" s="5" t="s">
        <v>7</v>
      </c>
      <c r="C11" s="5"/>
      <c r="D11" s="6"/>
      <c r="E11" s="242"/>
      <c r="F11" s="71"/>
      <c r="G11" s="6"/>
      <c r="H11" s="240" t="e">
        <f t="shared" ref="H11:H74" si="0">G11/D11</f>
        <v>#DIV/0!</v>
      </c>
      <c r="I11" s="238">
        <f>I12+I21</f>
        <v>2450.8999999999996</v>
      </c>
      <c r="J11" s="6">
        <f>J12+J21</f>
        <v>3675.2699999999995</v>
      </c>
      <c r="K11" s="75">
        <f>K12+K21</f>
        <v>3944.64</v>
      </c>
    </row>
    <row r="12" spans="1:14" ht="28.9" hidden="1" customHeight="1" x14ac:dyDescent="0.25">
      <c r="A12" s="71" t="s">
        <v>8</v>
      </c>
      <c r="B12" s="5" t="s">
        <v>9</v>
      </c>
      <c r="C12" s="5"/>
      <c r="D12" s="6"/>
      <c r="E12" s="242"/>
      <c r="F12" s="71"/>
      <c r="G12" s="6"/>
      <c r="H12" s="240" t="e">
        <f t="shared" si="0"/>
        <v>#DIV/0!</v>
      </c>
      <c r="I12" s="238">
        <f>I13</f>
        <v>548.03</v>
      </c>
      <c r="J12" s="6">
        <f>J13</f>
        <v>821.28</v>
      </c>
      <c r="K12" s="75">
        <f>K13</f>
        <v>920.23</v>
      </c>
    </row>
    <row r="13" spans="1:14" ht="30" hidden="1" customHeight="1" x14ac:dyDescent="0.25">
      <c r="A13" s="71" t="s">
        <v>10</v>
      </c>
      <c r="B13" s="5" t="s">
        <v>11</v>
      </c>
      <c r="C13" s="5"/>
      <c r="D13" s="6"/>
      <c r="E13" s="243"/>
      <c r="F13" s="6"/>
      <c r="G13" s="71"/>
      <c r="H13" s="240" t="e">
        <f t="shared" si="0"/>
        <v>#DIV/0!</v>
      </c>
      <c r="I13" s="241">
        <f>ROUND(I14*I15,2)</f>
        <v>548.03</v>
      </c>
      <c r="J13" s="71">
        <f>ROUND(J14*J15,2)</f>
        <v>821.28</v>
      </c>
      <c r="K13" s="239">
        <f>ROUND(K14*K15,2)</f>
        <v>920.23</v>
      </c>
    </row>
    <row r="14" spans="1:14" s="9" customFormat="1" ht="30" hidden="1" customHeight="1" x14ac:dyDescent="0.2">
      <c r="A14" s="71" t="s">
        <v>12</v>
      </c>
      <c r="B14" s="5" t="s">
        <v>249</v>
      </c>
      <c r="C14" s="5"/>
      <c r="D14" s="244"/>
      <c r="E14" s="242"/>
      <c r="F14" s="71"/>
      <c r="G14" s="71"/>
      <c r="H14" s="240" t="e">
        <f t="shared" si="0"/>
        <v>#DIV/0!</v>
      </c>
      <c r="I14" s="245">
        <f>294.78-3.43</f>
        <v>291.34999999999997</v>
      </c>
      <c r="J14" s="66">
        <f>442.18-5.56</f>
        <v>436.62</v>
      </c>
      <c r="K14" s="246">
        <f>442.18+3.43+5.56</f>
        <v>451.17</v>
      </c>
    </row>
    <row r="15" spans="1:14" s="9" customFormat="1" ht="20.25" hidden="1" customHeight="1" x14ac:dyDescent="0.2">
      <c r="A15" s="71"/>
      <c r="B15" s="5" t="s">
        <v>14</v>
      </c>
      <c r="C15" s="5"/>
      <c r="D15" s="17"/>
      <c r="E15" s="242"/>
      <c r="F15" s="71"/>
      <c r="G15" s="71"/>
      <c r="H15" s="240" t="e">
        <f t="shared" si="0"/>
        <v>#DIV/0!</v>
      </c>
      <c r="I15" s="245">
        <f>1.511+0.37</f>
        <v>1.8809999999999998</v>
      </c>
      <c r="J15" s="66">
        <f>1.511+0.37</f>
        <v>1.8809999999999998</v>
      </c>
      <c r="K15" s="247">
        <f>(1.511*1.105)+0.37</f>
        <v>2.0396549999999998</v>
      </c>
    </row>
    <row r="16" spans="1:14" ht="34.5" hidden="1" customHeight="1" x14ac:dyDescent="0.25">
      <c r="A16" s="71"/>
      <c r="B16" s="5" t="s">
        <v>15</v>
      </c>
      <c r="C16" s="5"/>
      <c r="D16" s="71"/>
      <c r="E16" s="242"/>
      <c r="F16" s="71"/>
      <c r="G16" s="193"/>
      <c r="H16" s="240" t="e">
        <f t="shared" si="0"/>
        <v>#DIV/0!</v>
      </c>
      <c r="I16" s="241"/>
      <c r="J16" s="71"/>
      <c r="K16" s="239"/>
    </row>
    <row r="17" spans="1:11" s="9" customFormat="1" ht="16.149999999999999" hidden="1" customHeight="1" x14ac:dyDescent="0.2">
      <c r="A17" s="71" t="s">
        <v>16</v>
      </c>
      <c r="B17" s="21" t="s">
        <v>401</v>
      </c>
      <c r="C17" s="21"/>
      <c r="D17" s="6"/>
      <c r="E17" s="242"/>
      <c r="F17" s="71"/>
      <c r="G17" s="71"/>
      <c r="H17" s="240" t="e">
        <f t="shared" si="0"/>
        <v>#DIV/0!</v>
      </c>
      <c r="I17" s="245"/>
      <c r="J17" s="66"/>
      <c r="K17" s="246"/>
    </row>
    <row r="18" spans="1:11" s="9" customFormat="1" ht="18.600000000000001" hidden="1" customHeight="1" x14ac:dyDescent="0.2">
      <c r="A18" s="71"/>
      <c r="B18" s="5" t="s">
        <v>14</v>
      </c>
      <c r="C18" s="5"/>
      <c r="D18" s="71"/>
      <c r="E18" s="242"/>
      <c r="F18" s="71"/>
      <c r="G18" s="71"/>
      <c r="H18" s="240" t="e">
        <f t="shared" si="0"/>
        <v>#DIV/0!</v>
      </c>
      <c r="I18" s="245"/>
      <c r="J18" s="66"/>
      <c r="K18" s="246"/>
    </row>
    <row r="19" spans="1:11" ht="19.899999999999999" hidden="1" customHeight="1" x14ac:dyDescent="0.25">
      <c r="A19" s="71"/>
      <c r="B19" s="5" t="s">
        <v>15</v>
      </c>
      <c r="C19" s="5"/>
      <c r="D19" s="71"/>
      <c r="E19" s="242"/>
      <c r="F19" s="71"/>
      <c r="G19" s="71"/>
      <c r="H19" s="240" t="e">
        <f t="shared" si="0"/>
        <v>#DIV/0!</v>
      </c>
      <c r="I19" s="241"/>
      <c r="J19" s="71"/>
      <c r="K19" s="239"/>
    </row>
    <row r="20" spans="1:11" ht="19.149999999999999" hidden="1" customHeight="1" x14ac:dyDescent="0.25">
      <c r="A20" s="71" t="s">
        <v>17</v>
      </c>
      <c r="B20" s="5" t="s">
        <v>18</v>
      </c>
      <c r="C20" s="5"/>
      <c r="D20" s="6"/>
      <c r="E20" s="242"/>
      <c r="F20" s="71"/>
      <c r="G20" s="71"/>
      <c r="H20" s="240" t="e">
        <f t="shared" si="0"/>
        <v>#DIV/0!</v>
      </c>
      <c r="I20" s="241"/>
      <c r="J20" s="71"/>
      <c r="K20" s="239"/>
    </row>
    <row r="21" spans="1:11" ht="19.149999999999999" hidden="1" customHeight="1" x14ac:dyDescent="0.25">
      <c r="A21" s="71" t="s">
        <v>19</v>
      </c>
      <c r="B21" s="5" t="s">
        <v>20</v>
      </c>
      <c r="C21" s="5"/>
      <c r="D21" s="6"/>
      <c r="E21" s="242"/>
      <c r="F21" s="71"/>
      <c r="G21" s="6"/>
      <c r="H21" s="240" t="e">
        <f t="shared" si="0"/>
        <v>#DIV/0!</v>
      </c>
      <c r="I21" s="238">
        <f>ROUND(I22*I23,2)</f>
        <v>1902.87</v>
      </c>
      <c r="J21" s="6">
        <f>ROUND(J22*J23,2)</f>
        <v>2853.99</v>
      </c>
      <c r="K21" s="75">
        <f>ROUND(K22*K23,2)</f>
        <v>3024.41</v>
      </c>
    </row>
    <row r="22" spans="1:11" s="9" customFormat="1" ht="19.149999999999999" hidden="1" customHeight="1" x14ac:dyDescent="0.2">
      <c r="A22" s="71" t="s">
        <v>21</v>
      </c>
      <c r="B22" s="5" t="s">
        <v>402</v>
      </c>
      <c r="C22" s="5"/>
      <c r="D22" s="6"/>
      <c r="E22" s="6"/>
      <c r="F22" s="6"/>
      <c r="G22" s="71"/>
      <c r="H22" s="240" t="e">
        <f t="shared" si="0"/>
        <v>#DIV/0!</v>
      </c>
      <c r="I22" s="245">
        <v>124.86</v>
      </c>
      <c r="J22" s="66">
        <v>187.27</v>
      </c>
      <c r="K22" s="246">
        <v>187.27</v>
      </c>
    </row>
    <row r="23" spans="1:11" s="9" customFormat="1" ht="16.899999999999999" hidden="1" customHeight="1" x14ac:dyDescent="0.2">
      <c r="A23" s="71" t="s">
        <v>23</v>
      </c>
      <c r="B23" s="5" t="s">
        <v>24</v>
      </c>
      <c r="C23" s="5"/>
      <c r="D23" s="71"/>
      <c r="E23" s="242"/>
      <c r="F23" s="71"/>
      <c r="G23" s="71"/>
      <c r="H23" s="240" t="e">
        <f t="shared" si="0"/>
        <v>#DIV/0!</v>
      </c>
      <c r="I23" s="245">
        <v>15.24</v>
      </c>
      <c r="J23" s="66">
        <v>15.24</v>
      </c>
      <c r="K23" s="246">
        <v>16.149999999999999</v>
      </c>
    </row>
    <row r="24" spans="1:11" ht="34.9" hidden="1" customHeight="1" x14ac:dyDescent="0.25">
      <c r="A24" s="71" t="s">
        <v>25</v>
      </c>
      <c r="B24" s="5" t="s">
        <v>26</v>
      </c>
      <c r="C24" s="5"/>
      <c r="D24" s="71"/>
      <c r="E24" s="242"/>
      <c r="F24" s="71"/>
      <c r="G24" s="6"/>
      <c r="H24" s="240" t="e">
        <f t="shared" si="0"/>
        <v>#DIV/0!</v>
      </c>
      <c r="I24" s="241"/>
      <c r="J24" s="71"/>
      <c r="K24" s="239"/>
    </row>
    <row r="25" spans="1:11" ht="31.5" hidden="1" x14ac:dyDescent="0.25">
      <c r="A25" s="71" t="s">
        <v>27</v>
      </c>
      <c r="B25" s="5" t="s">
        <v>28</v>
      </c>
      <c r="C25" s="5"/>
      <c r="D25" s="6"/>
      <c r="E25" s="242"/>
      <c r="F25" s="71"/>
      <c r="G25" s="6"/>
      <c r="H25" s="240" t="e">
        <f t="shared" si="0"/>
        <v>#DIV/0!</v>
      </c>
      <c r="I25" s="241" t="e">
        <f>ROUND((#REF!/10*4)/1000,2)</f>
        <v>#REF!</v>
      </c>
      <c r="J25" s="71" t="e">
        <f>ROUND((#REF!/10*6)/1000,2)</f>
        <v>#REF!</v>
      </c>
      <c r="K25" s="239" t="e">
        <f>ROUND((#REF!/1000),2)</f>
        <v>#REF!</v>
      </c>
    </row>
    <row r="26" spans="1:11" s="9" customFormat="1" ht="31.5" hidden="1" x14ac:dyDescent="0.2">
      <c r="A26" s="71" t="s">
        <v>29</v>
      </c>
      <c r="B26" s="5" t="s">
        <v>30</v>
      </c>
      <c r="C26" s="5"/>
      <c r="D26" s="71"/>
      <c r="E26" s="242"/>
      <c r="F26" s="71"/>
      <c r="G26" s="71"/>
      <c r="H26" s="240" t="e">
        <f t="shared" si="0"/>
        <v>#DIV/0!</v>
      </c>
      <c r="I26" s="245">
        <v>2.4</v>
      </c>
      <c r="J26" s="66">
        <v>2.4</v>
      </c>
      <c r="K26" s="246">
        <v>2.4</v>
      </c>
    </row>
    <row r="27" spans="1:11" s="9" customFormat="1" ht="15.75" hidden="1" x14ac:dyDescent="0.2">
      <c r="A27" s="71" t="s">
        <v>31</v>
      </c>
      <c r="B27" s="5" t="s">
        <v>32</v>
      </c>
      <c r="C27" s="5"/>
      <c r="D27" s="71"/>
      <c r="E27" s="242"/>
      <c r="F27" s="71"/>
      <c r="G27" s="71"/>
      <c r="H27" s="240" t="e">
        <f t="shared" si="0"/>
        <v>#DIV/0!</v>
      </c>
      <c r="I27" s="245"/>
      <c r="J27" s="66"/>
      <c r="K27" s="246"/>
    </row>
    <row r="28" spans="1:11" s="9" customFormat="1" ht="15.75" hidden="1" x14ac:dyDescent="0.2">
      <c r="A28" s="71" t="s">
        <v>224</v>
      </c>
      <c r="B28" s="15" t="s">
        <v>33</v>
      </c>
      <c r="C28" s="15"/>
      <c r="D28" s="71"/>
      <c r="E28" s="242"/>
      <c r="F28" s="71"/>
      <c r="G28" s="71"/>
      <c r="H28" s="240" t="e">
        <f t="shared" si="0"/>
        <v>#DIV/0!</v>
      </c>
      <c r="I28" s="245"/>
      <c r="J28" s="66"/>
      <c r="K28" s="246"/>
    </row>
    <row r="29" spans="1:11" s="113" customFormat="1" ht="21" hidden="1" customHeight="1" x14ac:dyDescent="0.2">
      <c r="A29" s="176" t="s">
        <v>225</v>
      </c>
      <c r="B29" s="15" t="s">
        <v>34</v>
      </c>
      <c r="C29" s="15"/>
      <c r="D29" s="71"/>
      <c r="E29" s="242"/>
      <c r="F29" s="71"/>
      <c r="G29" s="176"/>
      <c r="H29" s="240" t="e">
        <f t="shared" si="0"/>
        <v>#DIV/0!</v>
      </c>
      <c r="I29" s="248" t="e">
        <f>ROUND(I25/I26/4*1000,2)</f>
        <v>#REF!</v>
      </c>
      <c r="J29" s="109" t="e">
        <f>ROUND(J25/J26/6*1000,2)</f>
        <v>#REF!</v>
      </c>
      <c r="K29" s="249" t="e">
        <f>ROUND(K25/K26/6*1000,2)</f>
        <v>#REF!</v>
      </c>
    </row>
    <row r="30" spans="1:11" ht="21.75" hidden="1" customHeight="1" x14ac:dyDescent="0.25">
      <c r="A30" s="71" t="s">
        <v>226</v>
      </c>
      <c r="B30" s="73" t="s">
        <v>36</v>
      </c>
      <c r="C30" s="73"/>
      <c r="D30" s="176"/>
      <c r="E30" s="176"/>
      <c r="F30" s="176"/>
      <c r="G30" s="71"/>
      <c r="H30" s="240" t="e">
        <f t="shared" si="0"/>
        <v>#DIV/0!</v>
      </c>
      <c r="I30" s="241" t="e">
        <f>ROUND(I25*0.305,2)</f>
        <v>#REF!</v>
      </c>
      <c r="J30" s="71" t="e">
        <f>ROUND(J25*0.305,2)</f>
        <v>#REF!</v>
      </c>
      <c r="K30" s="239" t="e">
        <f>ROUND(K25*0.305,2)</f>
        <v>#REF!</v>
      </c>
    </row>
    <row r="31" spans="1:11" ht="21.75" hidden="1" customHeight="1" x14ac:dyDescent="0.25">
      <c r="A31" s="71" t="s">
        <v>37</v>
      </c>
      <c r="B31" s="15" t="s">
        <v>38</v>
      </c>
      <c r="C31" s="15"/>
      <c r="D31" s="71"/>
      <c r="E31" s="71"/>
      <c r="F31" s="71"/>
      <c r="G31" s="71"/>
      <c r="H31" s="240" t="e">
        <f t="shared" si="0"/>
        <v>#DIV/0!</v>
      </c>
      <c r="I31" s="241">
        <v>30.5</v>
      </c>
      <c r="J31" s="71">
        <v>30.5</v>
      </c>
      <c r="K31" s="239">
        <v>30.5</v>
      </c>
    </row>
    <row r="32" spans="1:11" ht="29.25" hidden="1" customHeight="1" x14ac:dyDescent="0.25">
      <c r="A32" s="71" t="s">
        <v>227</v>
      </c>
      <c r="B32" s="15" t="s">
        <v>39</v>
      </c>
      <c r="C32" s="15"/>
      <c r="D32" s="71"/>
      <c r="E32" s="71"/>
      <c r="F32" s="71"/>
      <c r="G32" s="6"/>
      <c r="H32" s="240" t="e">
        <f t="shared" si="0"/>
        <v>#DIV/0!</v>
      </c>
      <c r="I32" s="241"/>
      <c r="J32" s="71"/>
      <c r="K32" s="239"/>
    </row>
    <row r="33" spans="1:11" ht="53.25" hidden="1" customHeight="1" x14ac:dyDescent="0.25">
      <c r="A33" s="71" t="s">
        <v>40</v>
      </c>
      <c r="B33" s="5" t="s">
        <v>41</v>
      </c>
      <c r="C33" s="5"/>
      <c r="D33" s="6"/>
      <c r="E33" s="243"/>
      <c r="F33" s="6"/>
      <c r="G33" s="6"/>
      <c r="H33" s="240" t="e">
        <f t="shared" si="0"/>
        <v>#DIV/0!</v>
      </c>
      <c r="I33" s="238" t="e">
        <f>I34+I38+I39+I40</f>
        <v>#REF!</v>
      </c>
      <c r="J33" s="6" t="e">
        <f>J34+J38+J39+J40</f>
        <v>#REF!</v>
      </c>
      <c r="K33" s="75" t="e">
        <f>K34+K38+K39+K40</f>
        <v>#REF!</v>
      </c>
    </row>
    <row r="34" spans="1:11" ht="36" hidden="1" customHeight="1" x14ac:dyDescent="0.25">
      <c r="A34" s="71" t="s">
        <v>42</v>
      </c>
      <c r="B34" s="5" t="s">
        <v>43</v>
      </c>
      <c r="C34" s="5"/>
      <c r="D34" s="6"/>
      <c r="E34" s="6"/>
      <c r="F34" s="6"/>
      <c r="G34" s="6"/>
      <c r="H34" s="240" t="e">
        <f t="shared" si="0"/>
        <v>#DIV/0!</v>
      </c>
      <c r="I34" s="241" t="e">
        <f>ROUND((#REF!/10*4)/1000,2)</f>
        <v>#REF!</v>
      </c>
      <c r="J34" s="71" t="e">
        <f>ROUND((#REF!/10*6)/1000,2)</f>
        <v>#REF!</v>
      </c>
      <c r="K34" s="239" t="e">
        <f>ROUND(#REF!/1000,2)</f>
        <v>#REF!</v>
      </c>
    </row>
    <row r="35" spans="1:11" ht="34.5" hidden="1" customHeight="1" x14ac:dyDescent="0.25">
      <c r="A35" s="71" t="s">
        <v>254</v>
      </c>
      <c r="B35" s="5" t="s">
        <v>44</v>
      </c>
      <c r="C35" s="5"/>
      <c r="D35" s="6"/>
      <c r="E35" s="243"/>
      <c r="F35" s="6"/>
      <c r="G35" s="6"/>
      <c r="H35" s="240" t="e">
        <f t="shared" si="0"/>
        <v>#DIV/0!</v>
      </c>
      <c r="I35" s="241">
        <v>0.5</v>
      </c>
      <c r="J35" s="71">
        <v>0.5</v>
      </c>
      <c r="K35" s="239">
        <v>0.5</v>
      </c>
    </row>
    <row r="36" spans="1:11" ht="17.45" hidden="1" customHeight="1" x14ac:dyDescent="0.25">
      <c r="A36" s="71"/>
      <c r="B36" s="5" t="s">
        <v>32</v>
      </c>
      <c r="C36" s="5"/>
      <c r="D36" s="6"/>
      <c r="E36" s="243"/>
      <c r="F36" s="6"/>
      <c r="G36" s="71"/>
      <c r="H36" s="240" t="e">
        <f t="shared" si="0"/>
        <v>#DIV/0!</v>
      </c>
      <c r="I36" s="241"/>
      <c r="J36" s="71"/>
      <c r="K36" s="239"/>
    </row>
    <row r="37" spans="1:11" s="83" customFormat="1" ht="18.600000000000001" hidden="1" customHeight="1" x14ac:dyDescent="0.25">
      <c r="A37" s="176"/>
      <c r="B37" s="15" t="s">
        <v>34</v>
      </c>
      <c r="C37" s="15"/>
      <c r="D37" s="71"/>
      <c r="E37" s="242"/>
      <c r="F37" s="71"/>
      <c r="G37" s="17"/>
      <c r="H37" s="240" t="e">
        <f t="shared" si="0"/>
        <v>#DIV/0!</v>
      </c>
      <c r="I37" s="250" t="e">
        <f>I34/I35/4*1000</f>
        <v>#REF!</v>
      </c>
      <c r="J37" s="17" t="e">
        <f>J34/J35/6*1000</f>
        <v>#REF!</v>
      </c>
      <c r="K37" s="251" t="e">
        <f>K34/K35/6*1000</f>
        <v>#REF!</v>
      </c>
    </row>
    <row r="38" spans="1:11" ht="23.25" hidden="1" customHeight="1" x14ac:dyDescent="0.25">
      <c r="A38" s="71"/>
      <c r="B38" s="73" t="s">
        <v>36</v>
      </c>
      <c r="C38" s="73"/>
      <c r="D38" s="17"/>
      <c r="E38" s="17"/>
      <c r="F38" s="17"/>
      <c r="G38" s="6"/>
      <c r="H38" s="240" t="e">
        <f t="shared" si="0"/>
        <v>#DIV/0!</v>
      </c>
      <c r="I38" s="238" t="e">
        <f>ROUND(I34*0.305,2)</f>
        <v>#REF!</v>
      </c>
      <c r="J38" s="6" t="e">
        <f>ROUND(J34*0.305,2)</f>
        <v>#REF!</v>
      </c>
      <c r="K38" s="75" t="e">
        <f>ROUND(K34*0.305,2)</f>
        <v>#REF!</v>
      </c>
    </row>
    <row r="39" spans="1:11" ht="19.149999999999999" hidden="1" customHeight="1" x14ac:dyDescent="0.25">
      <c r="A39" s="71" t="s">
        <v>255</v>
      </c>
      <c r="B39" s="15" t="s">
        <v>38</v>
      </c>
      <c r="C39" s="15"/>
      <c r="D39" s="6"/>
      <c r="E39" s="6"/>
      <c r="F39" s="6"/>
      <c r="G39" s="71"/>
      <c r="H39" s="240" t="e">
        <f t="shared" si="0"/>
        <v>#DIV/0!</v>
      </c>
      <c r="I39" s="241"/>
      <c r="J39" s="71"/>
      <c r="K39" s="239"/>
    </row>
    <row r="40" spans="1:11" ht="19.149999999999999" hidden="1" customHeight="1" x14ac:dyDescent="0.25">
      <c r="A40" s="71" t="s">
        <v>45</v>
      </c>
      <c r="B40" s="15" t="s">
        <v>46</v>
      </c>
      <c r="C40" s="15"/>
      <c r="D40" s="6"/>
      <c r="E40" s="243"/>
      <c r="F40" s="6"/>
      <c r="G40" s="6"/>
      <c r="H40" s="240" t="e">
        <f t="shared" si="0"/>
        <v>#DIV/0!</v>
      </c>
      <c r="I40" s="241"/>
      <c r="J40" s="71"/>
      <c r="K40" s="239"/>
    </row>
    <row r="41" spans="1:11" ht="52.9" hidden="1" customHeight="1" x14ac:dyDescent="0.25">
      <c r="A41" s="71" t="s">
        <v>47</v>
      </c>
      <c r="B41" s="15" t="s">
        <v>48</v>
      </c>
      <c r="C41" s="15"/>
      <c r="D41" s="6"/>
      <c r="E41" s="243"/>
      <c r="F41" s="6"/>
      <c r="G41" s="6"/>
      <c r="H41" s="240" t="e">
        <f t="shared" si="0"/>
        <v>#DIV/0!</v>
      </c>
      <c r="I41" s="241"/>
      <c r="J41" s="71"/>
      <c r="K41" s="239"/>
    </row>
    <row r="42" spans="1:11" ht="29.25" hidden="1" customHeight="1" x14ac:dyDescent="0.25">
      <c r="A42" s="71" t="s">
        <v>49</v>
      </c>
      <c r="B42" s="5" t="s">
        <v>50</v>
      </c>
      <c r="C42" s="5"/>
      <c r="D42" s="6"/>
      <c r="E42" s="243"/>
      <c r="F42" s="6"/>
      <c r="G42" s="6"/>
      <c r="H42" s="240" t="e">
        <f t="shared" si="0"/>
        <v>#DIV/0!</v>
      </c>
      <c r="I42" s="241" t="e">
        <f>I43++I48+I49+I53</f>
        <v>#REF!</v>
      </c>
      <c r="J42" s="71" t="e">
        <f>J43++J48+J49+J53</f>
        <v>#REF!</v>
      </c>
      <c r="K42" s="239" t="e">
        <f>K43++K48+K49+K53</f>
        <v>#REF!</v>
      </c>
    </row>
    <row r="43" spans="1:11" ht="15.75" x14ac:dyDescent="0.25">
      <c r="A43" s="71" t="s">
        <v>51</v>
      </c>
      <c r="B43" s="15" t="s">
        <v>52</v>
      </c>
      <c r="C43" s="15"/>
      <c r="D43" s="71"/>
      <c r="E43" s="71"/>
      <c r="F43" s="71"/>
      <c r="G43" s="6"/>
      <c r="H43" s="240" t="e">
        <f t="shared" si="0"/>
        <v>#DIV/0!</v>
      </c>
      <c r="I43" s="241">
        <f>I44+I45+I46+I47</f>
        <v>0</v>
      </c>
      <c r="J43" s="71">
        <f>J44+J45+J46+J47</f>
        <v>0</v>
      </c>
      <c r="K43" s="239">
        <f>K44+K45+K46+K47</f>
        <v>0</v>
      </c>
    </row>
    <row r="44" spans="1:11" ht="31.5" hidden="1" x14ac:dyDescent="0.25">
      <c r="A44" s="71" t="s">
        <v>53</v>
      </c>
      <c r="B44" s="5" t="s">
        <v>54</v>
      </c>
      <c r="C44" s="5"/>
      <c r="D44" s="6"/>
      <c r="E44" s="6"/>
      <c r="F44" s="6"/>
      <c r="G44" s="6"/>
      <c r="H44" s="240" t="e">
        <f t="shared" si="0"/>
        <v>#DIV/0!</v>
      </c>
      <c r="I44" s="241">
        <f>75.82-75.82</f>
        <v>0</v>
      </c>
      <c r="J44" s="71">
        <f>113.73-113.73</f>
        <v>0</v>
      </c>
      <c r="K44" s="239">
        <v>0</v>
      </c>
    </row>
    <row r="45" spans="1:11" ht="47.25" hidden="1" x14ac:dyDescent="0.25">
      <c r="A45" s="71" t="s">
        <v>55</v>
      </c>
      <c r="B45" s="21" t="s">
        <v>56</v>
      </c>
      <c r="C45" s="21"/>
      <c r="D45" s="6"/>
      <c r="E45" s="243"/>
      <c r="F45" s="6"/>
      <c r="G45" s="6"/>
      <c r="H45" s="240" t="e">
        <f t="shared" si="0"/>
        <v>#DIV/0!</v>
      </c>
      <c r="I45" s="241"/>
      <c r="J45" s="71"/>
      <c r="K45" s="239"/>
    </row>
    <row r="46" spans="1:11" ht="31.5" hidden="1" x14ac:dyDescent="0.25">
      <c r="A46" s="71" t="s">
        <v>57</v>
      </c>
      <c r="B46" s="21" t="s">
        <v>250</v>
      </c>
      <c r="C46" s="21"/>
      <c r="D46" s="6"/>
      <c r="E46" s="243"/>
      <c r="F46" s="6"/>
      <c r="G46" s="6"/>
      <c r="H46" s="240" t="e">
        <f t="shared" si="0"/>
        <v>#DIV/0!</v>
      </c>
      <c r="I46" s="241"/>
      <c r="J46" s="71"/>
      <c r="K46" s="239"/>
    </row>
    <row r="47" spans="1:11" ht="31.5" hidden="1" x14ac:dyDescent="0.25">
      <c r="A47" s="71" t="s">
        <v>60</v>
      </c>
      <c r="B47" s="5" t="s">
        <v>61</v>
      </c>
      <c r="C47" s="5"/>
      <c r="D47" s="6"/>
      <c r="E47" s="243"/>
      <c r="F47" s="6"/>
      <c r="G47" s="6"/>
      <c r="H47" s="240" t="e">
        <f t="shared" si="0"/>
        <v>#DIV/0!</v>
      </c>
      <c r="I47" s="241"/>
      <c r="J47" s="71"/>
      <c r="K47" s="239"/>
    </row>
    <row r="48" spans="1:11" ht="31.5" hidden="1" x14ac:dyDescent="0.25">
      <c r="A48" s="71" t="s">
        <v>62</v>
      </c>
      <c r="B48" s="5" t="s">
        <v>63</v>
      </c>
      <c r="C48" s="5"/>
      <c r="D48" s="6"/>
      <c r="E48" s="243"/>
      <c r="F48" s="6"/>
      <c r="G48" s="6"/>
      <c r="H48" s="240" t="e">
        <f t="shared" si="0"/>
        <v>#DIV/0!</v>
      </c>
      <c r="I48" s="241"/>
      <c r="J48" s="71"/>
      <c r="K48" s="239"/>
    </row>
    <row r="49" spans="1:11" ht="15.75" hidden="1" x14ac:dyDescent="0.25">
      <c r="A49" s="71" t="s">
        <v>64</v>
      </c>
      <c r="B49" s="5" t="s">
        <v>65</v>
      </c>
      <c r="C49" s="5"/>
      <c r="D49" s="6"/>
      <c r="E49" s="243"/>
      <c r="F49" s="6"/>
      <c r="G49" s="6"/>
      <c r="H49" s="240" t="e">
        <f t="shared" si="0"/>
        <v>#DIV/0!</v>
      </c>
      <c r="I49" s="241" t="e">
        <f>ROUND((#REF!/10*4/1000),2)</f>
        <v>#REF!</v>
      </c>
      <c r="J49" s="71" t="e">
        <f>ROUND((#REF!/10*6)/1000,2)</f>
        <v>#REF!</v>
      </c>
      <c r="K49" s="239" t="e">
        <f>ROUND(#REF!/1000,2)</f>
        <v>#REF!</v>
      </c>
    </row>
    <row r="50" spans="1:11" s="9" customFormat="1" ht="34.9" hidden="1" customHeight="1" x14ac:dyDescent="0.2">
      <c r="A50" s="71" t="s">
        <v>66</v>
      </c>
      <c r="B50" s="15" t="s">
        <v>67</v>
      </c>
      <c r="C50" s="15"/>
      <c r="D50" s="71"/>
      <c r="E50" s="242"/>
      <c r="F50" s="71"/>
      <c r="G50" s="71"/>
      <c r="H50" s="240" t="e">
        <f t="shared" si="0"/>
        <v>#DIV/0!</v>
      </c>
      <c r="I50" s="245">
        <v>4.3</v>
      </c>
      <c r="J50" s="66">
        <v>4.3</v>
      </c>
      <c r="K50" s="246">
        <v>4.3</v>
      </c>
    </row>
    <row r="51" spans="1:11" s="9" customFormat="1" ht="21" hidden="1" customHeight="1" x14ac:dyDescent="0.2">
      <c r="A51" s="71" t="s">
        <v>68</v>
      </c>
      <c r="B51" s="15" t="s">
        <v>69</v>
      </c>
      <c r="C51" s="15"/>
      <c r="D51" s="71"/>
      <c r="E51" s="71"/>
      <c r="F51" s="71"/>
      <c r="G51" s="71"/>
      <c r="H51" s="240" t="e">
        <f t="shared" si="0"/>
        <v>#DIV/0!</v>
      </c>
      <c r="I51" s="245"/>
      <c r="J51" s="66"/>
      <c r="K51" s="246"/>
    </row>
    <row r="52" spans="1:11" s="113" customFormat="1" ht="15.75" hidden="1" x14ac:dyDescent="0.2">
      <c r="A52" s="176" t="s">
        <v>70</v>
      </c>
      <c r="B52" s="15" t="s">
        <v>34</v>
      </c>
      <c r="C52" s="15"/>
      <c r="D52" s="71"/>
      <c r="E52" s="242"/>
      <c r="F52" s="71"/>
      <c r="G52" s="17"/>
      <c r="H52" s="240" t="e">
        <f t="shared" si="0"/>
        <v>#DIV/0!</v>
      </c>
      <c r="I52" s="252" t="e">
        <f>I49/I50/4*1000</f>
        <v>#REF!</v>
      </c>
      <c r="J52" s="111" t="e">
        <f>J49/J50/6*1000</f>
        <v>#REF!</v>
      </c>
      <c r="K52" s="253" t="e">
        <f>K49/K50/6*1000</f>
        <v>#REF!</v>
      </c>
    </row>
    <row r="53" spans="1:11" ht="24.75" hidden="1" customHeight="1" x14ac:dyDescent="0.25">
      <c r="A53" s="68" t="s">
        <v>71</v>
      </c>
      <c r="B53" s="73" t="s">
        <v>36</v>
      </c>
      <c r="C53" s="73"/>
      <c r="D53" s="17"/>
      <c r="E53" s="17"/>
      <c r="F53" s="17"/>
      <c r="G53" s="6"/>
      <c r="H53" s="240" t="e">
        <f t="shared" si="0"/>
        <v>#DIV/0!</v>
      </c>
      <c r="I53" s="241" t="e">
        <f>ROUND(I49*0.305,2)</f>
        <v>#REF!</v>
      </c>
      <c r="J53" s="71" t="e">
        <f>ROUND(J49*0.305,2)</f>
        <v>#REF!</v>
      </c>
      <c r="K53" s="239" t="e">
        <f>ROUND(K49*0.305,2)</f>
        <v>#REF!</v>
      </c>
    </row>
    <row r="54" spans="1:11" ht="28.5" hidden="1" customHeight="1" x14ac:dyDescent="0.25">
      <c r="A54" s="68" t="s">
        <v>72</v>
      </c>
      <c r="B54" s="15" t="s">
        <v>38</v>
      </c>
      <c r="C54" s="15"/>
      <c r="D54" s="71"/>
      <c r="E54" s="71"/>
      <c r="F54" s="71"/>
      <c r="G54" s="71"/>
      <c r="H54" s="240" t="e">
        <f t="shared" si="0"/>
        <v>#DIV/0!</v>
      </c>
      <c r="I54" s="241">
        <f>I55+I56+I58+I59+I60+I61+I62+I63+I64+I65+I66+I67</f>
        <v>-48.02</v>
      </c>
      <c r="J54" s="71">
        <f>J55+J56+J58+J59+J60+J61+J62+J63+J64+J65+J66+J67</f>
        <v>0</v>
      </c>
      <c r="K54" s="239">
        <f>K55+K56+K58+K59+K60+K61+K62+K63+K64+K65+K66+K67</f>
        <v>0</v>
      </c>
    </row>
    <row r="55" spans="1:11" ht="31.5" x14ac:dyDescent="0.25">
      <c r="A55" s="71" t="s">
        <v>73</v>
      </c>
      <c r="B55" s="5" t="s">
        <v>74</v>
      </c>
      <c r="C55" s="5"/>
      <c r="D55" s="71"/>
      <c r="E55" s="71"/>
      <c r="F55" s="71"/>
      <c r="G55" s="6"/>
      <c r="H55" s="240" t="e">
        <f t="shared" si="0"/>
        <v>#DIV/0!</v>
      </c>
      <c r="I55" s="241"/>
      <c r="J55" s="71"/>
      <c r="K55" s="239"/>
    </row>
    <row r="56" spans="1:11" ht="31.5" hidden="1" x14ac:dyDescent="0.25">
      <c r="A56" s="71" t="s">
        <v>75</v>
      </c>
      <c r="B56" s="5" t="s">
        <v>76</v>
      </c>
      <c r="C56" s="5"/>
      <c r="D56" s="71"/>
      <c r="E56" s="242"/>
      <c r="F56" s="71"/>
      <c r="G56" s="6"/>
      <c r="H56" s="240" t="e">
        <f t="shared" si="0"/>
        <v>#DIV/0!</v>
      </c>
      <c r="I56" s="241"/>
      <c r="J56" s="71"/>
      <c r="K56" s="239"/>
    </row>
    <row r="57" spans="1:11" s="9" customFormat="1" ht="31.5" hidden="1" x14ac:dyDescent="0.2">
      <c r="A57" s="71" t="s">
        <v>77</v>
      </c>
      <c r="B57" s="5" t="s">
        <v>78</v>
      </c>
      <c r="C57" s="5"/>
      <c r="D57" s="71"/>
      <c r="E57" s="242"/>
      <c r="F57" s="71"/>
      <c r="G57" s="6"/>
      <c r="H57" s="240" t="e">
        <f t="shared" si="0"/>
        <v>#DIV/0!</v>
      </c>
      <c r="I57" s="245"/>
      <c r="J57" s="66"/>
      <c r="K57" s="246"/>
    </row>
    <row r="58" spans="1:11" ht="15.75" hidden="1" x14ac:dyDescent="0.25">
      <c r="A58" s="71" t="s">
        <v>79</v>
      </c>
      <c r="B58" s="5" t="s">
        <v>80</v>
      </c>
      <c r="C58" s="5"/>
      <c r="D58" s="71"/>
      <c r="E58" s="242"/>
      <c r="F58" s="71"/>
      <c r="G58" s="6"/>
      <c r="H58" s="240" t="e">
        <f t="shared" si="0"/>
        <v>#DIV/0!</v>
      </c>
      <c r="I58" s="241"/>
      <c r="J58" s="71"/>
      <c r="K58" s="239"/>
    </row>
    <row r="59" spans="1:11" ht="15.75" hidden="1" x14ac:dyDescent="0.25">
      <c r="A59" s="71" t="s">
        <v>81</v>
      </c>
      <c r="B59" s="15" t="s">
        <v>38</v>
      </c>
      <c r="C59" s="15"/>
      <c r="D59" s="71"/>
      <c r="E59" s="242"/>
      <c r="F59" s="71"/>
      <c r="G59" s="6"/>
      <c r="H59" s="240" t="e">
        <f t="shared" si="0"/>
        <v>#DIV/0!</v>
      </c>
      <c r="I59" s="241"/>
      <c r="J59" s="71"/>
      <c r="K59" s="239"/>
    </row>
    <row r="60" spans="1:11" ht="31.5" hidden="1" x14ac:dyDescent="0.25">
      <c r="A60" s="71" t="s">
        <v>82</v>
      </c>
      <c r="B60" s="15" t="s">
        <v>87</v>
      </c>
      <c r="C60" s="15"/>
      <c r="D60" s="71"/>
      <c r="E60" s="242"/>
      <c r="F60" s="71"/>
      <c r="G60" s="6"/>
      <c r="H60" s="240" t="e">
        <f t="shared" si="0"/>
        <v>#DIV/0!</v>
      </c>
      <c r="I60" s="241"/>
      <c r="J60" s="71"/>
      <c r="K60" s="239"/>
    </row>
    <row r="61" spans="1:11" ht="21.6" hidden="1" customHeight="1" x14ac:dyDescent="0.25">
      <c r="A61" s="71" t="s">
        <v>85</v>
      </c>
      <c r="B61" s="15" t="s">
        <v>89</v>
      </c>
      <c r="C61" s="15"/>
      <c r="D61" s="71"/>
      <c r="E61" s="242"/>
      <c r="F61" s="71"/>
      <c r="G61" s="6"/>
      <c r="H61" s="240" t="e">
        <f t="shared" si="0"/>
        <v>#DIV/0!</v>
      </c>
      <c r="I61" s="241">
        <f>ROUND(D62/16*4,2)-48.02</f>
        <v>-48.02</v>
      </c>
      <c r="J61" s="71">
        <f>72.03-72.03</f>
        <v>0</v>
      </c>
      <c r="K61" s="239"/>
    </row>
    <row r="62" spans="1:11" ht="19.149999999999999" hidden="1" customHeight="1" x14ac:dyDescent="0.25">
      <c r="A62" s="71" t="s">
        <v>75</v>
      </c>
      <c r="B62" s="15" t="s">
        <v>91</v>
      </c>
      <c r="C62" s="15"/>
      <c r="D62" s="71"/>
      <c r="E62" s="242"/>
      <c r="F62" s="71"/>
      <c r="G62" s="6"/>
      <c r="H62" s="240" t="e">
        <f t="shared" si="0"/>
        <v>#DIV/0!</v>
      </c>
      <c r="I62" s="241"/>
      <c r="J62" s="71"/>
      <c r="K62" s="239"/>
    </row>
    <row r="63" spans="1:11" ht="32.450000000000003" hidden="1" customHeight="1" x14ac:dyDescent="0.25">
      <c r="A63" s="71" t="s">
        <v>88</v>
      </c>
      <c r="B63" s="15" t="s">
        <v>93</v>
      </c>
      <c r="C63" s="15"/>
      <c r="D63" s="71"/>
      <c r="E63" s="242"/>
      <c r="F63" s="71"/>
      <c r="G63" s="6"/>
      <c r="H63" s="240" t="e">
        <f t="shared" si="0"/>
        <v>#DIV/0!</v>
      </c>
      <c r="I63" s="241"/>
      <c r="J63" s="71"/>
      <c r="K63" s="239"/>
    </row>
    <row r="64" spans="1:11" ht="32.450000000000003" hidden="1" customHeight="1" x14ac:dyDescent="0.25">
      <c r="A64" s="71" t="s">
        <v>90</v>
      </c>
      <c r="B64" s="15" t="s">
        <v>95</v>
      </c>
      <c r="C64" s="15"/>
      <c r="D64" s="71"/>
      <c r="E64" s="242"/>
      <c r="F64" s="71"/>
      <c r="G64" s="6"/>
      <c r="H64" s="240" t="e">
        <f t="shared" si="0"/>
        <v>#DIV/0!</v>
      </c>
      <c r="I64" s="241"/>
      <c r="J64" s="71"/>
      <c r="K64" s="239"/>
    </row>
    <row r="65" spans="1:11" ht="32.450000000000003" hidden="1" customHeight="1" x14ac:dyDescent="0.25">
      <c r="A65" s="71" t="s">
        <v>92</v>
      </c>
      <c r="B65" s="15" t="s">
        <v>96</v>
      </c>
      <c r="C65" s="15"/>
      <c r="D65" s="71"/>
      <c r="E65" s="242"/>
      <c r="F65" s="71"/>
      <c r="G65" s="6"/>
      <c r="H65" s="240" t="e">
        <f t="shared" si="0"/>
        <v>#DIV/0!</v>
      </c>
      <c r="I65" s="241"/>
      <c r="J65" s="71"/>
      <c r="K65" s="239"/>
    </row>
    <row r="66" spans="1:11" ht="32.450000000000003" hidden="1" customHeight="1" x14ac:dyDescent="0.25">
      <c r="A66" s="71" t="s">
        <v>94</v>
      </c>
      <c r="B66" s="15" t="s">
        <v>98</v>
      </c>
      <c r="C66" s="15"/>
      <c r="D66" s="71"/>
      <c r="E66" s="242"/>
      <c r="F66" s="71"/>
      <c r="G66" s="6"/>
      <c r="H66" s="240" t="e">
        <f t="shared" si="0"/>
        <v>#DIV/0!</v>
      </c>
      <c r="I66" s="241"/>
      <c r="J66" s="71"/>
      <c r="K66" s="239"/>
    </row>
    <row r="67" spans="1:11" ht="35.450000000000003" hidden="1" customHeight="1" x14ac:dyDescent="0.25">
      <c r="A67" s="71" t="s">
        <v>251</v>
      </c>
      <c r="B67" s="15" t="s">
        <v>100</v>
      </c>
      <c r="C67" s="15"/>
      <c r="D67" s="71"/>
      <c r="E67" s="242"/>
      <c r="F67" s="71"/>
      <c r="G67" s="6"/>
      <c r="H67" s="240" t="e">
        <f t="shared" si="0"/>
        <v>#DIV/0!</v>
      </c>
      <c r="I67" s="241">
        <v>0</v>
      </c>
      <c r="J67" s="71">
        <v>0</v>
      </c>
      <c r="K67" s="239">
        <v>0</v>
      </c>
    </row>
    <row r="68" spans="1:11" ht="46.5" hidden="1" customHeight="1" x14ac:dyDescent="0.25">
      <c r="A68" s="71" t="s">
        <v>77</v>
      </c>
      <c r="B68" s="5" t="s">
        <v>101</v>
      </c>
      <c r="C68" s="5"/>
      <c r="D68" s="6"/>
      <c r="E68" s="242"/>
      <c r="F68" s="71"/>
      <c r="G68" s="6"/>
      <c r="H68" s="240" t="e">
        <f t="shared" si="0"/>
        <v>#DIV/0!</v>
      </c>
      <c r="I68" s="241"/>
      <c r="J68" s="71"/>
      <c r="K68" s="239"/>
    </row>
    <row r="69" spans="1:11" ht="31.5" x14ac:dyDescent="0.25">
      <c r="A69" s="71" t="s">
        <v>102</v>
      </c>
      <c r="B69" s="5" t="s">
        <v>103</v>
      </c>
      <c r="C69" s="5"/>
      <c r="D69" s="6"/>
      <c r="E69" s="242"/>
      <c r="F69" s="71"/>
      <c r="G69" s="6"/>
      <c r="H69" s="240" t="e">
        <f t="shared" si="0"/>
        <v>#DIV/0!</v>
      </c>
      <c r="I69" s="241"/>
      <c r="J69" s="71"/>
      <c r="K69" s="239"/>
    </row>
    <row r="70" spans="1:11" ht="31.5" hidden="1" x14ac:dyDescent="0.25">
      <c r="A70" s="71" t="s">
        <v>104</v>
      </c>
      <c r="B70" s="5" t="s">
        <v>105</v>
      </c>
      <c r="C70" s="5"/>
      <c r="D70" s="71"/>
      <c r="E70" s="242"/>
      <c r="F70" s="71"/>
      <c r="G70" s="6"/>
      <c r="H70" s="240" t="e">
        <f t="shared" si="0"/>
        <v>#DIV/0!</v>
      </c>
      <c r="I70" s="241"/>
      <c r="J70" s="71"/>
      <c r="K70" s="239"/>
    </row>
    <row r="71" spans="1:11" s="9" customFormat="1" ht="15.75" hidden="1" x14ac:dyDescent="0.2">
      <c r="A71" s="71" t="s">
        <v>106</v>
      </c>
      <c r="B71" s="5" t="s">
        <v>107</v>
      </c>
      <c r="C71" s="5"/>
      <c r="D71" s="71"/>
      <c r="E71" s="242"/>
      <c r="F71" s="71"/>
      <c r="G71" s="6"/>
      <c r="H71" s="240" t="e">
        <f t="shared" si="0"/>
        <v>#DIV/0!</v>
      </c>
      <c r="I71" s="245"/>
      <c r="J71" s="66"/>
      <c r="K71" s="246"/>
    </row>
    <row r="72" spans="1:11" ht="15.75" hidden="1" x14ac:dyDescent="0.25">
      <c r="A72" s="71" t="s">
        <v>108</v>
      </c>
      <c r="B72" s="5" t="s">
        <v>80</v>
      </c>
      <c r="C72" s="5"/>
      <c r="D72" s="71"/>
      <c r="E72" s="242"/>
      <c r="F72" s="71"/>
      <c r="G72" s="6"/>
      <c r="H72" s="240" t="e">
        <f t="shared" si="0"/>
        <v>#DIV/0!</v>
      </c>
      <c r="I72" s="241"/>
      <c r="J72" s="71"/>
      <c r="K72" s="239"/>
    </row>
    <row r="73" spans="1:11" ht="30.6" hidden="1" customHeight="1" x14ac:dyDescent="0.25">
      <c r="A73" s="71" t="s">
        <v>109</v>
      </c>
      <c r="B73" s="15" t="s">
        <v>38</v>
      </c>
      <c r="C73" s="15"/>
      <c r="D73" s="71"/>
      <c r="E73" s="242"/>
      <c r="F73" s="71"/>
      <c r="G73" s="6"/>
      <c r="H73" s="240" t="e">
        <f t="shared" si="0"/>
        <v>#DIV/0!</v>
      </c>
      <c r="I73" s="241"/>
      <c r="J73" s="71"/>
      <c r="K73" s="239"/>
    </row>
    <row r="74" spans="1:11" ht="22.15" hidden="1" customHeight="1" x14ac:dyDescent="0.25">
      <c r="A74" s="71" t="s">
        <v>110</v>
      </c>
      <c r="B74" s="15" t="s">
        <v>111</v>
      </c>
      <c r="C74" s="15"/>
      <c r="D74" s="71"/>
      <c r="E74" s="242"/>
      <c r="F74" s="71"/>
      <c r="G74" s="6"/>
      <c r="H74" s="240" t="e">
        <f t="shared" si="0"/>
        <v>#DIV/0!</v>
      </c>
      <c r="I74" s="241">
        <f>ROUND(D75/16*4,2)-64.54</f>
        <v>-64.540000000000006</v>
      </c>
      <c r="J74" s="71">
        <f>96.81-96.81</f>
        <v>0</v>
      </c>
      <c r="K74" s="239">
        <v>0</v>
      </c>
    </row>
    <row r="75" spans="1:11" ht="36.6" customHeight="1" x14ac:dyDescent="0.25">
      <c r="A75" s="71" t="s">
        <v>112</v>
      </c>
      <c r="B75" s="5" t="s">
        <v>113</v>
      </c>
      <c r="C75" s="5"/>
      <c r="D75" s="71"/>
      <c r="E75" s="242"/>
      <c r="F75" s="71"/>
      <c r="G75" s="6"/>
      <c r="H75" s="240" t="e">
        <f t="shared" ref="H75:H93" si="1">G75/D75</f>
        <v>#DIV/0!</v>
      </c>
      <c r="I75" s="241"/>
      <c r="J75" s="71"/>
      <c r="K75" s="239"/>
    </row>
    <row r="76" spans="1:11" ht="31.5" x14ac:dyDescent="0.25">
      <c r="A76" s="71" t="s">
        <v>228</v>
      </c>
      <c r="B76" s="5" t="s">
        <v>114</v>
      </c>
      <c r="C76" s="5"/>
      <c r="D76" s="6"/>
      <c r="E76" s="242"/>
      <c r="F76" s="71"/>
      <c r="G76" s="6"/>
      <c r="H76" s="240" t="e">
        <f t="shared" si="1"/>
        <v>#DIV/0!</v>
      </c>
      <c r="I76" s="241"/>
      <c r="J76" s="71"/>
      <c r="K76" s="239"/>
    </row>
    <row r="77" spans="1:11" ht="15.75" hidden="1" x14ac:dyDescent="0.25">
      <c r="A77" s="71" t="s">
        <v>237</v>
      </c>
      <c r="B77" s="5" t="s">
        <v>115</v>
      </c>
      <c r="C77" s="5"/>
      <c r="D77" s="71"/>
      <c r="E77" s="242"/>
      <c r="F77" s="71"/>
      <c r="G77" s="6"/>
      <c r="H77" s="240" t="e">
        <f t="shared" si="1"/>
        <v>#DIV/0!</v>
      </c>
      <c r="I77" s="241"/>
      <c r="J77" s="71"/>
      <c r="K77" s="239"/>
    </row>
    <row r="78" spans="1:11" ht="15.75" hidden="1" x14ac:dyDescent="0.25">
      <c r="A78" s="71" t="s">
        <v>116</v>
      </c>
      <c r="B78" s="5" t="s">
        <v>117</v>
      </c>
      <c r="C78" s="5"/>
      <c r="D78" s="71"/>
      <c r="E78" s="242"/>
      <c r="F78" s="71"/>
      <c r="G78" s="6"/>
      <c r="H78" s="240" t="e">
        <f t="shared" si="1"/>
        <v>#DIV/0!</v>
      </c>
      <c r="I78" s="241"/>
      <c r="J78" s="71"/>
      <c r="K78" s="239"/>
    </row>
    <row r="79" spans="1:11" ht="34.9" hidden="1" customHeight="1" x14ac:dyDescent="0.25">
      <c r="A79" s="71" t="s">
        <v>118</v>
      </c>
      <c r="B79" s="21" t="s">
        <v>119</v>
      </c>
      <c r="C79" s="21"/>
      <c r="D79" s="71"/>
      <c r="E79" s="242"/>
      <c r="F79" s="71"/>
      <c r="G79" s="6"/>
      <c r="H79" s="240" t="e">
        <f t="shared" si="1"/>
        <v>#DIV/0!</v>
      </c>
      <c r="I79" s="241">
        <f>I80+I81+I82</f>
        <v>-32.909999999999997</v>
      </c>
      <c r="J79" s="71">
        <f>J80+J81+J82</f>
        <v>0</v>
      </c>
      <c r="K79" s="239">
        <f>K80+K81+K82</f>
        <v>0</v>
      </c>
    </row>
    <row r="80" spans="1:11" ht="31.5" customHeight="1" x14ac:dyDescent="0.25">
      <c r="A80" s="71" t="s">
        <v>120</v>
      </c>
      <c r="B80" s="5" t="s">
        <v>121</v>
      </c>
      <c r="C80" s="5"/>
      <c r="D80" s="71"/>
      <c r="E80" s="71"/>
      <c r="F80" s="71"/>
      <c r="G80" s="6"/>
      <c r="H80" s="240" t="e">
        <f t="shared" si="1"/>
        <v>#DIV/0!</v>
      </c>
      <c r="I80" s="241"/>
      <c r="J80" s="71"/>
      <c r="K80" s="239"/>
    </row>
    <row r="81" spans="1:11" ht="20.25" hidden="1" customHeight="1" x14ac:dyDescent="0.25">
      <c r="A81" s="71" t="s">
        <v>122</v>
      </c>
      <c r="B81" s="69" t="s">
        <v>229</v>
      </c>
      <c r="C81" s="69"/>
      <c r="D81" s="6"/>
      <c r="E81" s="242"/>
      <c r="F81" s="71"/>
      <c r="G81" s="6"/>
      <c r="H81" s="240" t="e">
        <f t="shared" si="1"/>
        <v>#DIV/0!</v>
      </c>
      <c r="I81" s="241"/>
      <c r="J81" s="71"/>
      <c r="K81" s="239"/>
    </row>
    <row r="82" spans="1:11" ht="18.600000000000001" hidden="1" customHeight="1" x14ac:dyDescent="0.25">
      <c r="A82" s="71" t="s">
        <v>123</v>
      </c>
      <c r="B82" s="69" t="s">
        <v>124</v>
      </c>
      <c r="C82" s="69"/>
      <c r="D82" s="6"/>
      <c r="E82" s="242"/>
      <c r="F82" s="71"/>
      <c r="G82" s="6"/>
      <c r="H82" s="240" t="e">
        <f t="shared" si="1"/>
        <v>#DIV/0!</v>
      </c>
      <c r="I82" s="241">
        <f>ROUND(D83/16*4,2)-32.91</f>
        <v>-32.909999999999997</v>
      </c>
      <c r="J82" s="71">
        <f>49.37-49.37</f>
        <v>0</v>
      </c>
      <c r="K82" s="239"/>
    </row>
    <row r="83" spans="1:11" s="19" customFormat="1" ht="15.75" hidden="1" x14ac:dyDescent="0.2">
      <c r="A83" s="68" t="s">
        <v>122</v>
      </c>
      <c r="B83" s="70" t="s">
        <v>126</v>
      </c>
      <c r="C83" s="70"/>
      <c r="D83" s="6"/>
      <c r="E83" s="242"/>
      <c r="F83" s="71"/>
      <c r="G83" s="6"/>
      <c r="H83" s="240" t="e">
        <f t="shared" si="1"/>
        <v>#DIV/0!</v>
      </c>
      <c r="I83" s="254" t="e">
        <f>I9+I42+I54+I68+I74+I75+I79</f>
        <v>#REF!</v>
      </c>
      <c r="J83" s="4" t="e">
        <f>J9+J42+J54+J68+J74+J75+J79</f>
        <v>#REF!</v>
      </c>
      <c r="K83" s="76" t="e">
        <f>K9+K42+K54+K68+K74+K75+K79</f>
        <v>#REF!</v>
      </c>
    </row>
    <row r="84" spans="1:11" s="19" customFormat="1" ht="15.75" x14ac:dyDescent="0.2">
      <c r="A84" s="71"/>
      <c r="B84" s="5" t="s">
        <v>127</v>
      </c>
      <c r="C84" s="5"/>
      <c r="D84" s="6"/>
      <c r="E84" s="6"/>
      <c r="F84" s="6"/>
      <c r="G84" s="6"/>
      <c r="H84" s="240" t="e">
        <f t="shared" si="1"/>
        <v>#DIV/0!</v>
      </c>
      <c r="I84" s="254" t="e">
        <f>I85/I83*100</f>
        <v>#REF!</v>
      </c>
      <c r="J84" s="4" t="e">
        <f>J85/J83*100</f>
        <v>#REF!</v>
      </c>
      <c r="K84" s="76" t="e">
        <f>K85/K83*100</f>
        <v>#REF!</v>
      </c>
    </row>
    <row r="85" spans="1:11" ht="15.75" x14ac:dyDescent="0.25">
      <c r="A85" s="71">
        <v>8</v>
      </c>
      <c r="B85" s="5" t="s">
        <v>128</v>
      </c>
      <c r="C85" s="5"/>
      <c r="D85" s="6"/>
      <c r="E85" s="6"/>
      <c r="F85" s="6"/>
      <c r="G85" s="6"/>
      <c r="H85" s="240" t="e">
        <f t="shared" si="1"/>
        <v>#DIV/0!</v>
      </c>
      <c r="I85" s="241">
        <f>I86+I87+I88+I89+I90</f>
        <v>3.7199999999999998</v>
      </c>
      <c r="J85" s="71">
        <f>J86+J87+J88+J89+J90</f>
        <v>6.1099999999999994</v>
      </c>
      <c r="K85" s="239">
        <f>K86+K87+K88+K89+K90</f>
        <v>6.1099999999999994</v>
      </c>
    </row>
    <row r="86" spans="1:11" ht="15.75" x14ac:dyDescent="0.25">
      <c r="A86" s="71">
        <v>9</v>
      </c>
      <c r="B86" s="5" t="s">
        <v>129</v>
      </c>
      <c r="C86" s="5"/>
      <c r="D86" s="6"/>
      <c r="E86" s="71"/>
      <c r="F86" s="71"/>
      <c r="G86" s="71"/>
      <c r="H86" s="240" t="e">
        <f t="shared" si="1"/>
        <v>#DIV/0!</v>
      </c>
      <c r="I86" s="241"/>
      <c r="J86" s="71"/>
      <c r="K86" s="239"/>
    </row>
    <row r="87" spans="1:11" ht="63" hidden="1" x14ac:dyDescent="0.25">
      <c r="A87" s="71" t="s">
        <v>191</v>
      </c>
      <c r="B87" s="5" t="s">
        <v>130</v>
      </c>
      <c r="C87" s="5"/>
      <c r="D87" s="6"/>
      <c r="E87" s="6"/>
      <c r="F87" s="6"/>
      <c r="G87" s="6"/>
      <c r="H87" s="240" t="e">
        <f t="shared" si="1"/>
        <v>#DIV/0!</v>
      </c>
      <c r="I87" s="241"/>
      <c r="J87" s="71"/>
      <c r="K87" s="239"/>
    </row>
    <row r="88" spans="1:11" ht="30" hidden="1" customHeight="1" x14ac:dyDescent="0.25">
      <c r="A88" s="68" t="s">
        <v>192</v>
      </c>
      <c r="B88" s="70" t="s">
        <v>131</v>
      </c>
      <c r="C88" s="70"/>
      <c r="D88" s="6"/>
      <c r="E88" s="6"/>
      <c r="F88" s="6"/>
      <c r="G88" s="6"/>
      <c r="H88" s="240" t="e">
        <f t="shared" si="1"/>
        <v>#DIV/0!</v>
      </c>
      <c r="I88" s="241">
        <v>3</v>
      </c>
      <c r="J88" s="71">
        <v>4.93</v>
      </c>
      <c r="K88" s="239">
        <v>4.93</v>
      </c>
    </row>
    <row r="89" spans="1:11" ht="15.75" hidden="1" x14ac:dyDescent="0.25">
      <c r="A89" s="71" t="s">
        <v>193</v>
      </c>
      <c r="B89" s="70" t="s">
        <v>132</v>
      </c>
      <c r="C89" s="70"/>
      <c r="D89" s="71"/>
      <c r="E89" s="242"/>
      <c r="F89" s="71"/>
      <c r="G89" s="71"/>
      <c r="H89" s="240" t="e">
        <f t="shared" si="1"/>
        <v>#DIV/0!</v>
      </c>
      <c r="I89" s="241"/>
      <c r="J89" s="71"/>
      <c r="K89" s="239"/>
    </row>
    <row r="90" spans="1:11" ht="15.75" hidden="1" x14ac:dyDescent="0.25">
      <c r="A90" s="71" t="s">
        <v>194</v>
      </c>
      <c r="B90" s="70" t="s">
        <v>133</v>
      </c>
      <c r="C90" s="70"/>
      <c r="D90" s="71"/>
      <c r="E90" s="242"/>
      <c r="F90" s="71"/>
      <c r="G90" s="71"/>
      <c r="H90" s="240" t="e">
        <f t="shared" si="1"/>
        <v>#DIV/0!</v>
      </c>
      <c r="I90" s="241">
        <f>I91</f>
        <v>0.72</v>
      </c>
      <c r="J90" s="71">
        <f>J91</f>
        <v>1.18</v>
      </c>
      <c r="K90" s="239">
        <f>K91</f>
        <v>1.18</v>
      </c>
    </row>
    <row r="91" spans="1:11" ht="15.75" hidden="1" x14ac:dyDescent="0.25">
      <c r="A91" s="255" t="s">
        <v>195</v>
      </c>
      <c r="B91" s="70" t="s">
        <v>230</v>
      </c>
      <c r="C91" s="70"/>
      <c r="D91" s="71"/>
      <c r="E91" s="71"/>
      <c r="F91" s="71"/>
      <c r="G91" s="71"/>
      <c r="H91" s="240" t="e">
        <f t="shared" si="1"/>
        <v>#DIV/0!</v>
      </c>
      <c r="I91" s="241">
        <f>ROUND(I88*0.24,2)</f>
        <v>0.72</v>
      </c>
      <c r="J91" s="71">
        <f>ROUND(J88*0.24,2)</f>
        <v>1.18</v>
      </c>
      <c r="K91" s="239">
        <f>ROUND(K88*0.24,2)</f>
        <v>1.18</v>
      </c>
    </row>
    <row r="92" spans="1:11" s="19" customFormat="1" ht="15.75" hidden="1" x14ac:dyDescent="0.2">
      <c r="A92" s="71" t="s">
        <v>231</v>
      </c>
      <c r="B92" s="70" t="s">
        <v>232</v>
      </c>
      <c r="C92" s="70"/>
      <c r="D92" s="71"/>
      <c r="E92" s="242"/>
      <c r="F92" s="71"/>
      <c r="G92" s="6"/>
      <c r="H92" s="240" t="e">
        <f t="shared" si="1"/>
        <v>#DIV/0!</v>
      </c>
      <c r="I92" s="254" t="e">
        <f>I83+I85</f>
        <v>#REF!</v>
      </c>
      <c r="J92" s="4" t="e">
        <f>J83+J85</f>
        <v>#REF!</v>
      </c>
      <c r="K92" s="76" t="e">
        <f>K83+K85</f>
        <v>#REF!</v>
      </c>
    </row>
    <row r="93" spans="1:11" s="19" customFormat="1" ht="20.45" customHeight="1" x14ac:dyDescent="0.2">
      <c r="A93" s="71">
        <v>10</v>
      </c>
      <c r="B93" s="5" t="s">
        <v>135</v>
      </c>
      <c r="C93" s="5"/>
      <c r="D93" s="6"/>
      <c r="E93" s="6"/>
      <c r="F93" s="6"/>
      <c r="G93" s="6"/>
      <c r="H93" s="240" t="e">
        <f t="shared" si="1"/>
        <v>#DIV/0!</v>
      </c>
      <c r="I93" s="256">
        <v>124.86</v>
      </c>
      <c r="J93" s="67">
        <v>187.27</v>
      </c>
      <c r="K93" s="257">
        <v>187.27</v>
      </c>
    </row>
    <row r="94" spans="1:11" ht="31.5" hidden="1" x14ac:dyDescent="0.25">
      <c r="A94" s="258">
        <v>11</v>
      </c>
      <c r="B94" s="24" t="s">
        <v>136</v>
      </c>
      <c r="C94" s="24"/>
      <c r="D94" s="67">
        <v>499.4</v>
      </c>
      <c r="E94" s="259"/>
      <c r="F94" s="67"/>
      <c r="G94" s="6"/>
      <c r="H94" s="6" t="e">
        <f>D95-#REF!</f>
        <v>#REF!</v>
      </c>
      <c r="I94" s="238" t="e">
        <f>ROUND(I92/I93,2)</f>
        <v>#REF!</v>
      </c>
      <c r="J94" s="6" t="e">
        <f>ROUND(J92/J93,2)</f>
        <v>#REF!</v>
      </c>
      <c r="K94" s="75" t="e">
        <f>ROUND(K92/K93,2)</f>
        <v>#REF!</v>
      </c>
    </row>
    <row r="95" spans="1:11" ht="15.75" hidden="1" x14ac:dyDescent="0.25">
      <c r="A95" s="260">
        <v>12</v>
      </c>
      <c r="B95" s="24" t="s">
        <v>137</v>
      </c>
      <c r="C95" s="24"/>
      <c r="D95" s="71">
        <f>ROUND(D93/D94,2)</f>
        <v>0</v>
      </c>
      <c r="E95" s="6" t="e">
        <f>ROUND(E93/E94,2)</f>
        <v>#DIV/0!</v>
      </c>
      <c r="F95" s="6" t="e">
        <f>ROUND(F93/F94,2)</f>
        <v>#DIV/0!</v>
      </c>
      <c r="G95" s="6"/>
      <c r="H95" s="6" t="e">
        <f>D96-#REF!</f>
        <v>#REF!</v>
      </c>
      <c r="I95" s="238" t="e">
        <f>ROUND(I94*1.18,2)</f>
        <v>#REF!</v>
      </c>
      <c r="J95" s="6" t="e">
        <f>ROUND(J94*1.18,2)</f>
        <v>#REF!</v>
      </c>
      <c r="K95" s="75" t="e">
        <f>ROUND(K94*1.18,2)</f>
        <v>#REF!</v>
      </c>
    </row>
    <row r="96" spans="1:11" ht="15.75" hidden="1" x14ac:dyDescent="0.25">
      <c r="A96" s="260"/>
      <c r="B96" s="261" t="s">
        <v>138</v>
      </c>
      <c r="C96" s="261"/>
      <c r="D96" s="71">
        <f>ROUND(D95*1.18,2)</f>
        <v>0</v>
      </c>
      <c r="E96" s="6" t="e">
        <f>ROUND(E95*1.18,2)</f>
        <v>#DIV/0!</v>
      </c>
      <c r="F96" s="6" t="e">
        <f>ROUND(F95*1.18,2)</f>
        <v>#DIV/0!</v>
      </c>
      <c r="G96" s="262"/>
      <c r="H96" s="6" t="e">
        <f>D97-#REF!</f>
        <v>#REF!</v>
      </c>
      <c r="I96" s="263"/>
      <c r="J96" s="262"/>
      <c r="K96" s="264"/>
    </row>
    <row r="97" spans="1:11" ht="32.25" hidden="1" thickBot="1" x14ac:dyDescent="0.3">
      <c r="A97" s="265"/>
      <c r="B97" s="266" t="s">
        <v>403</v>
      </c>
      <c r="C97" s="266"/>
      <c r="D97" s="71">
        <v>31.51</v>
      </c>
      <c r="E97" s="267"/>
      <c r="F97" s="262"/>
      <c r="G97" s="80"/>
      <c r="H97" s="6" t="e">
        <f>D98-#REF!</f>
        <v>#REF!</v>
      </c>
      <c r="I97" s="268" t="e">
        <f>I95/D97*100</f>
        <v>#REF!</v>
      </c>
      <c r="J97" s="269" t="e">
        <f>J95/I95*100</f>
        <v>#REF!</v>
      </c>
      <c r="K97" s="270" t="e">
        <f>K95/J95*100</f>
        <v>#REF!</v>
      </c>
    </row>
    <row r="98" spans="1:11" ht="16.5" hidden="1" thickBot="1" x14ac:dyDescent="0.3">
      <c r="B98" s="271" t="s">
        <v>139</v>
      </c>
      <c r="C98" s="266"/>
      <c r="D98" s="71"/>
      <c r="E98" s="272"/>
      <c r="F98" s="80"/>
      <c r="I98">
        <v>31.51</v>
      </c>
      <c r="J98">
        <v>31.51</v>
      </c>
      <c r="K98">
        <v>33.4</v>
      </c>
    </row>
    <row r="99" spans="1:11" x14ac:dyDescent="0.25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 x14ac:dyDescent="0.25">
      <c r="I101">
        <v>26.7</v>
      </c>
      <c r="J101">
        <v>26.7</v>
      </c>
      <c r="K101">
        <v>28.3</v>
      </c>
    </row>
    <row r="103" spans="1:11" x14ac:dyDescent="0.25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 x14ac:dyDescent="0.25">
      <c r="G105" s="25"/>
      <c r="H105" s="25"/>
      <c r="I105" s="25" t="e">
        <f>I92-I103</f>
        <v>#REF!</v>
      </c>
      <c r="J105" s="25" t="e">
        <f>J92-J103</f>
        <v>#REF!</v>
      </c>
      <c r="K105" s="25" t="e">
        <f>K92-K103</f>
        <v>#REF!</v>
      </c>
    </row>
    <row r="106" spans="1:11" x14ac:dyDescent="0.25">
      <c r="E106" s="25">
        <f>E93-E104</f>
        <v>0</v>
      </c>
      <c r="F106" s="25">
        <f>F93-F104</f>
        <v>0</v>
      </c>
    </row>
    <row r="107" spans="1:11" x14ac:dyDescent="0.25">
      <c r="K107">
        <v>29.37</v>
      </c>
    </row>
    <row r="109" spans="1:11" x14ac:dyDescent="0.25">
      <c r="K109">
        <f>K107*K93</f>
        <v>5500.1199000000006</v>
      </c>
    </row>
    <row r="111" spans="1:11" x14ac:dyDescent="0.25">
      <c r="K111" s="25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2"/>
  <sheetViews>
    <sheetView workbookViewId="0">
      <selection activeCell="C13" sqref="C13"/>
    </sheetView>
  </sheetViews>
  <sheetFormatPr defaultRowHeight="15" x14ac:dyDescent="0.25"/>
  <cols>
    <col min="1" max="1" width="8.42578125" customWidth="1"/>
    <col min="2" max="2" width="38.85546875" customWidth="1"/>
    <col min="3" max="4" width="12.28515625" customWidth="1"/>
    <col min="5" max="5" width="12.85546875" style="273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 x14ac:dyDescent="0.3">
      <c r="A1" s="224"/>
      <c r="B1" s="322" t="s">
        <v>404</v>
      </c>
      <c r="C1" s="322"/>
      <c r="D1" s="322"/>
      <c r="E1" s="322"/>
      <c r="F1" s="322"/>
      <c r="G1" s="322"/>
      <c r="H1" s="322"/>
      <c r="I1" s="322"/>
      <c r="Q1" s="182" t="s">
        <v>382</v>
      </c>
    </row>
    <row r="2" spans="1:17" ht="18.75" x14ac:dyDescent="0.3">
      <c r="A2" s="224"/>
      <c r="B2" s="224"/>
      <c r="C2" s="224"/>
      <c r="D2" s="224"/>
      <c r="E2" s="227"/>
      <c r="F2" s="224"/>
    </row>
    <row r="3" spans="1:17" ht="18.75" x14ac:dyDescent="0.3">
      <c r="A3" s="338" t="s">
        <v>252</v>
      </c>
      <c r="B3" s="338"/>
      <c r="C3" s="338"/>
      <c r="D3" s="338"/>
      <c r="E3" s="338"/>
      <c r="F3" s="338"/>
      <c r="G3" s="338"/>
      <c r="H3" s="338"/>
      <c r="I3" s="338"/>
    </row>
    <row r="4" spans="1:17" ht="18.75" x14ac:dyDescent="0.3">
      <c r="A4" s="338" t="s">
        <v>391</v>
      </c>
      <c r="B4" s="338"/>
      <c r="C4" s="338"/>
      <c r="D4" s="338"/>
      <c r="E4" s="338"/>
      <c r="F4" s="338"/>
      <c r="G4" s="338"/>
      <c r="H4" s="338"/>
      <c r="I4" s="338"/>
    </row>
    <row r="5" spans="1:17" ht="18.75" x14ac:dyDescent="0.3">
      <c r="A5" s="338" t="s">
        <v>392</v>
      </c>
      <c r="B5" s="338"/>
      <c r="C5" s="338"/>
      <c r="D5" s="338"/>
      <c r="E5" s="338"/>
      <c r="F5" s="338"/>
      <c r="G5" s="338"/>
      <c r="H5" s="338"/>
      <c r="I5" s="338"/>
    </row>
    <row r="6" spans="1:17" ht="15.75" x14ac:dyDescent="0.25">
      <c r="A6" s="274"/>
      <c r="B6" s="274"/>
      <c r="C6" s="274"/>
      <c r="D6" s="274"/>
      <c r="E6" s="275"/>
      <c r="F6" s="274"/>
      <c r="G6" s="274"/>
      <c r="H6" s="274"/>
      <c r="I6" s="228" t="s">
        <v>218</v>
      </c>
    </row>
    <row r="7" spans="1:17" ht="21" customHeight="1" x14ac:dyDescent="0.25">
      <c r="A7" s="345"/>
      <c r="B7" s="345" t="s">
        <v>1</v>
      </c>
      <c r="C7" s="345" t="s">
        <v>253</v>
      </c>
      <c r="D7" s="345" t="s">
        <v>405</v>
      </c>
      <c r="E7" s="345" t="s">
        <v>406</v>
      </c>
      <c r="F7" s="345"/>
      <c r="G7" s="345" t="s">
        <v>407</v>
      </c>
      <c r="H7" s="345"/>
      <c r="I7" s="345"/>
    </row>
    <row r="8" spans="1:17" ht="84.6" customHeight="1" x14ac:dyDescent="0.25">
      <c r="A8" s="345"/>
      <c r="B8" s="345"/>
      <c r="C8" s="345"/>
      <c r="D8" s="345"/>
      <c r="E8" s="242" t="s">
        <v>222</v>
      </c>
      <c r="F8" s="71" t="s">
        <v>223</v>
      </c>
      <c r="G8" s="176" t="s">
        <v>398</v>
      </c>
      <c r="H8" s="176" t="s">
        <v>399</v>
      </c>
      <c r="I8" s="176" t="s">
        <v>400</v>
      </c>
    </row>
    <row r="9" spans="1:17" ht="16.899999999999999" customHeight="1" x14ac:dyDescent="0.25">
      <c r="A9" s="71">
        <v>1</v>
      </c>
      <c r="B9" s="71">
        <v>2</v>
      </c>
      <c r="C9" s="71">
        <v>3</v>
      </c>
      <c r="D9" s="71">
        <v>4</v>
      </c>
      <c r="E9" s="242"/>
      <c r="F9" s="71"/>
      <c r="G9" s="71">
        <v>5</v>
      </c>
      <c r="H9" s="71">
        <v>6</v>
      </c>
      <c r="I9" s="71">
        <v>7</v>
      </c>
    </row>
    <row r="10" spans="1:17" s="1" customFormat="1" ht="17.45" customHeight="1" x14ac:dyDescent="0.2">
      <c r="A10" s="71">
        <v>1</v>
      </c>
      <c r="B10" s="5" t="s">
        <v>5</v>
      </c>
      <c r="C10" s="6">
        <v>9999.0650000000005</v>
      </c>
      <c r="D10" s="6">
        <v>11592.77</v>
      </c>
      <c r="E10" s="71">
        <v>6710.6499999999987</v>
      </c>
      <c r="F10" s="71">
        <v>15839.28</v>
      </c>
      <c r="G10" s="6">
        <v>2815.79</v>
      </c>
      <c r="H10" s="71">
        <v>4222.5999999999995</v>
      </c>
      <c r="I10" s="71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 x14ac:dyDescent="0.25">
      <c r="A11" s="71" t="s">
        <v>6</v>
      </c>
      <c r="B11" s="5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K11">
        <v>0</v>
      </c>
      <c r="L11">
        <v>0</v>
      </c>
    </row>
    <row r="12" spans="1:17" ht="35.25" customHeight="1" x14ac:dyDescent="0.25">
      <c r="A12" s="71" t="s">
        <v>8</v>
      </c>
      <c r="B12" s="5" t="s">
        <v>9</v>
      </c>
      <c r="C12" s="6">
        <v>8864.875</v>
      </c>
      <c r="D12" s="6">
        <v>10070.81</v>
      </c>
      <c r="E12" s="242">
        <v>448.32</v>
      </c>
      <c r="F12" s="71">
        <v>7856.8000000000011</v>
      </c>
      <c r="G12" s="6">
        <v>2450.8999999999996</v>
      </c>
      <c r="H12" s="6">
        <v>3675.2699999999995</v>
      </c>
      <c r="I12" s="6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 x14ac:dyDescent="0.25">
      <c r="A13" s="71" t="s">
        <v>10</v>
      </c>
      <c r="B13" s="5" t="s">
        <v>11</v>
      </c>
      <c r="C13" s="6">
        <v>1177</v>
      </c>
      <c r="D13" s="6">
        <v>2289.54</v>
      </c>
      <c r="E13" s="243">
        <v>448.32</v>
      </c>
      <c r="F13" s="6">
        <v>7856.8000000000011</v>
      </c>
      <c r="G13" s="6">
        <v>548.03</v>
      </c>
      <c r="H13" s="6">
        <v>821.28</v>
      </c>
      <c r="I13" s="6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 x14ac:dyDescent="0.25">
      <c r="A14" s="71" t="s">
        <v>12</v>
      </c>
      <c r="B14" s="5" t="s">
        <v>249</v>
      </c>
      <c r="C14" s="244">
        <v>1177</v>
      </c>
      <c r="D14" s="6">
        <v>2289.54</v>
      </c>
      <c r="E14" s="242">
        <v>329.14</v>
      </c>
      <c r="F14" s="71">
        <v>7370.8700000000008</v>
      </c>
      <c r="G14" s="71">
        <v>548.03</v>
      </c>
      <c r="H14" s="71">
        <v>821.28</v>
      </c>
      <c r="I14" s="71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9" customFormat="1" ht="16.899999999999999" customHeight="1" x14ac:dyDescent="0.2">
      <c r="A15" s="66"/>
      <c r="B15" s="7" t="s">
        <v>14</v>
      </c>
      <c r="C15" s="71">
        <v>676.43678160919546</v>
      </c>
      <c r="D15" s="66">
        <v>1179.1400000000001</v>
      </c>
      <c r="E15" s="276"/>
      <c r="F15" s="66"/>
      <c r="G15" s="66">
        <v>291.34999999999997</v>
      </c>
      <c r="H15" s="66">
        <v>436.62</v>
      </c>
      <c r="I15" s="66">
        <v>451.17</v>
      </c>
      <c r="K15" s="9">
        <v>1712.942</v>
      </c>
      <c r="L15" s="9">
        <v>1179.1400000000001</v>
      </c>
      <c r="M15" s="9">
        <v>291.34999999999997</v>
      </c>
      <c r="N15" s="9">
        <v>436.62</v>
      </c>
      <c r="O15" s="9">
        <v>451.17</v>
      </c>
    </row>
    <row r="16" spans="1:17" s="9" customFormat="1" ht="15.6" customHeight="1" x14ac:dyDescent="0.2">
      <c r="A16" s="66"/>
      <c r="B16" s="7" t="s">
        <v>15</v>
      </c>
      <c r="C16" s="66">
        <v>1.7399999999999998</v>
      </c>
      <c r="D16" s="74">
        <v>1.9417032752684158</v>
      </c>
      <c r="E16" s="276"/>
      <c r="F16" s="66"/>
      <c r="G16" s="66">
        <v>1.8809999999999998</v>
      </c>
      <c r="H16" s="66">
        <v>1.8809999999999998</v>
      </c>
      <c r="I16" s="74">
        <v>2.0396549999999998</v>
      </c>
      <c r="K16" s="9">
        <v>1.92</v>
      </c>
      <c r="L16" s="9">
        <v>1.9417032752684158</v>
      </c>
      <c r="M16" s="9">
        <v>1.8809999999999998</v>
      </c>
      <c r="N16" s="9">
        <v>1.8809999999999998</v>
      </c>
      <c r="O16" s="9">
        <v>2.0396549999999998</v>
      </c>
    </row>
    <row r="17" spans="1:15" ht="32.450000000000003" hidden="1" customHeight="1" x14ac:dyDescent="0.25">
      <c r="A17" s="71" t="s">
        <v>16</v>
      </c>
      <c r="B17" s="5" t="s">
        <v>401</v>
      </c>
      <c r="C17" s="6">
        <v>0</v>
      </c>
      <c r="D17" s="71">
        <v>0</v>
      </c>
      <c r="E17" s="242">
        <v>119.18</v>
      </c>
      <c r="F17" s="71">
        <v>485.92999999999995</v>
      </c>
      <c r="G17" s="71"/>
      <c r="H17" s="71"/>
      <c r="I17" s="71"/>
      <c r="K17">
        <v>0</v>
      </c>
      <c r="L17">
        <v>0</v>
      </c>
    </row>
    <row r="18" spans="1:15" s="9" customFormat="1" ht="16.149999999999999" hidden="1" customHeight="1" x14ac:dyDescent="0.2">
      <c r="A18" s="66"/>
      <c r="B18" s="7" t="s">
        <v>14</v>
      </c>
      <c r="C18" s="66">
        <v>0</v>
      </c>
      <c r="D18" s="66"/>
      <c r="E18" s="276"/>
      <c r="F18" s="66"/>
      <c r="G18" s="66"/>
      <c r="H18" s="66"/>
      <c r="I18" s="66"/>
      <c r="K18" s="9">
        <v>0</v>
      </c>
    </row>
    <row r="19" spans="1:15" s="9" customFormat="1" ht="18.600000000000001" hidden="1" customHeight="1" x14ac:dyDescent="0.2">
      <c r="A19" s="66"/>
      <c r="B19" s="7" t="s">
        <v>15</v>
      </c>
      <c r="C19" s="66">
        <v>0</v>
      </c>
      <c r="D19" s="277"/>
      <c r="E19" s="276"/>
      <c r="F19" s="66"/>
      <c r="G19" s="66"/>
      <c r="H19" s="66"/>
      <c r="I19" s="66"/>
      <c r="K19" s="9">
        <v>0</v>
      </c>
    </row>
    <row r="20" spans="1:15" ht="19.899999999999999" customHeight="1" x14ac:dyDescent="0.25">
      <c r="A20" s="71" t="s">
        <v>17</v>
      </c>
      <c r="B20" s="5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15" ht="19.149999999999999" customHeight="1" x14ac:dyDescent="0.25">
      <c r="A21" s="71" t="s">
        <v>19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15" ht="19.149999999999999" customHeight="1" x14ac:dyDescent="0.25">
      <c r="A22" s="71" t="s">
        <v>21</v>
      </c>
      <c r="B22" s="5" t="s">
        <v>402</v>
      </c>
      <c r="C22" s="6">
        <v>7687.875</v>
      </c>
      <c r="D22" s="66">
        <v>7781.2699999999995</v>
      </c>
      <c r="E22" s="6">
        <v>0</v>
      </c>
      <c r="F22" s="6">
        <v>0</v>
      </c>
      <c r="G22" s="6">
        <v>1902.87</v>
      </c>
      <c r="H22" s="6">
        <v>2853.99</v>
      </c>
      <c r="I22" s="6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9" customFormat="1" ht="28.5" customHeight="1" x14ac:dyDescent="0.2">
      <c r="A23" s="66" t="s">
        <v>23</v>
      </c>
      <c r="B23" s="7" t="s">
        <v>24</v>
      </c>
      <c r="C23" s="66">
        <v>539.5</v>
      </c>
      <c r="D23" s="66">
        <v>499.4</v>
      </c>
      <c r="E23" s="276"/>
      <c r="F23" s="66"/>
      <c r="G23" s="66">
        <v>124.86</v>
      </c>
      <c r="H23" s="66">
        <v>187.27</v>
      </c>
      <c r="I23" s="66">
        <v>187.27</v>
      </c>
      <c r="K23" s="9">
        <v>499.4</v>
      </c>
      <c r="L23" s="9">
        <v>499.4</v>
      </c>
      <c r="M23" s="9">
        <v>124.86</v>
      </c>
      <c r="N23" s="9">
        <v>187.27</v>
      </c>
      <c r="O23" s="9">
        <v>187.27</v>
      </c>
    </row>
    <row r="24" spans="1:15" s="9" customFormat="1" ht="16.899999999999999" customHeight="1" x14ac:dyDescent="0.2">
      <c r="A24" s="66" t="s">
        <v>25</v>
      </c>
      <c r="B24" s="7" t="s">
        <v>26</v>
      </c>
      <c r="C24" s="66">
        <v>14.25</v>
      </c>
      <c r="D24" s="66"/>
      <c r="E24" s="276"/>
      <c r="F24" s="66"/>
      <c r="G24" s="66">
        <v>15.24</v>
      </c>
      <c r="H24" s="66">
        <v>15.24</v>
      </c>
      <c r="I24" s="66">
        <v>16.149999999999999</v>
      </c>
      <c r="K24" s="9">
        <v>15.24</v>
      </c>
      <c r="L24" s="9">
        <v>15.581237484981978</v>
      </c>
      <c r="M24" s="9">
        <v>15.24</v>
      </c>
      <c r="N24" s="9">
        <v>15.24</v>
      </c>
      <c r="O24" s="9">
        <v>16.149999999999999</v>
      </c>
    </row>
    <row r="25" spans="1:15" ht="34.9" customHeight="1" x14ac:dyDescent="0.25">
      <c r="A25" s="71" t="s">
        <v>27</v>
      </c>
      <c r="B25" s="5" t="s">
        <v>28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15" ht="31.5" x14ac:dyDescent="0.25">
      <c r="A26" s="71" t="s">
        <v>29</v>
      </c>
      <c r="B26" s="5" t="s">
        <v>30</v>
      </c>
      <c r="C26" s="71">
        <v>493.02</v>
      </c>
      <c r="D26" s="71">
        <v>916.42</v>
      </c>
      <c r="E26" s="242">
        <v>4302.3999999999996</v>
      </c>
      <c r="F26" s="71">
        <v>4056.64</v>
      </c>
      <c r="G26" s="71">
        <v>219.71</v>
      </c>
      <c r="H26" s="71">
        <v>329.57</v>
      </c>
      <c r="I26" s="71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9" customFormat="1" ht="15.75" x14ac:dyDescent="0.2">
      <c r="A27" s="66" t="s">
        <v>31</v>
      </c>
      <c r="B27" s="7" t="s">
        <v>32</v>
      </c>
      <c r="C27" s="66">
        <v>2.4</v>
      </c>
      <c r="D27" s="66">
        <v>2.4</v>
      </c>
      <c r="E27" s="276"/>
      <c r="F27" s="66"/>
      <c r="G27" s="66">
        <v>2.4</v>
      </c>
      <c r="H27" s="66">
        <v>2.4</v>
      </c>
      <c r="I27" s="66">
        <v>2.4</v>
      </c>
      <c r="K27" s="9">
        <v>2.4</v>
      </c>
      <c r="L27" s="9">
        <v>2.4</v>
      </c>
      <c r="M27" s="9">
        <v>2.4</v>
      </c>
      <c r="N27" s="9">
        <v>2.4</v>
      </c>
      <c r="O27" s="9">
        <v>2.4</v>
      </c>
    </row>
    <row r="28" spans="1:15" s="9" customFormat="1" ht="15.75" hidden="1" x14ac:dyDescent="0.2">
      <c r="A28" s="66" t="s">
        <v>224</v>
      </c>
      <c r="B28" s="7" t="s">
        <v>33</v>
      </c>
      <c r="C28" s="66"/>
      <c r="D28" s="66"/>
      <c r="E28" s="276"/>
      <c r="F28" s="66"/>
      <c r="G28" s="66"/>
      <c r="H28" s="66"/>
      <c r="I28" s="66"/>
    </row>
    <row r="29" spans="1:15" s="9" customFormat="1" ht="15.75" hidden="1" x14ac:dyDescent="0.2">
      <c r="A29" s="66" t="s">
        <v>225</v>
      </c>
      <c r="B29" s="7" t="s">
        <v>34</v>
      </c>
      <c r="C29" s="66"/>
      <c r="D29" s="66"/>
      <c r="E29" s="276"/>
      <c r="F29" s="66"/>
      <c r="G29" s="66"/>
      <c r="H29" s="66"/>
      <c r="I29" s="66"/>
    </row>
    <row r="30" spans="1:15" s="113" customFormat="1" ht="31.5" x14ac:dyDescent="0.2">
      <c r="A30" s="109" t="s">
        <v>226</v>
      </c>
      <c r="B30" s="110" t="s">
        <v>36</v>
      </c>
      <c r="C30" s="109">
        <v>17118.75</v>
      </c>
      <c r="D30" s="109">
        <v>23865.1</v>
      </c>
      <c r="E30" s="109" t="e">
        <v>#DIV/0!</v>
      </c>
      <c r="F30" s="109" t="e">
        <v>#DIV/0!</v>
      </c>
      <c r="G30" s="109">
        <v>22886.46</v>
      </c>
      <c r="H30" s="109">
        <v>22886.81</v>
      </c>
      <c r="I30" s="109">
        <v>25495.83</v>
      </c>
      <c r="K30" s="113">
        <v>37705.730000000003</v>
      </c>
      <c r="L30" s="113">
        <v>23865.1</v>
      </c>
      <c r="M30" s="113">
        <v>22886.46</v>
      </c>
      <c r="N30" s="113">
        <v>22886.81</v>
      </c>
      <c r="O30" s="113">
        <v>25495.83</v>
      </c>
    </row>
    <row r="31" spans="1:15" ht="15.75" x14ac:dyDescent="0.25">
      <c r="A31" s="71" t="s">
        <v>37</v>
      </c>
      <c r="B31" s="5" t="s">
        <v>38</v>
      </c>
      <c r="C31" s="71">
        <v>150.37</v>
      </c>
      <c r="D31" s="71">
        <v>279.51</v>
      </c>
      <c r="E31" s="71">
        <v>1312.23</v>
      </c>
      <c r="F31" s="71">
        <v>1237.28</v>
      </c>
      <c r="G31" s="71">
        <v>67.010000000000005</v>
      </c>
      <c r="H31" s="71">
        <v>100.52</v>
      </c>
      <c r="I31" s="71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 x14ac:dyDescent="0.25">
      <c r="A32" s="71" t="s">
        <v>227</v>
      </c>
      <c r="B32" s="5" t="s">
        <v>39</v>
      </c>
      <c r="C32" s="71">
        <v>30.5</v>
      </c>
      <c r="D32" s="71">
        <v>30.5</v>
      </c>
      <c r="E32" s="71">
        <v>30.5</v>
      </c>
      <c r="F32" s="71">
        <v>30.5</v>
      </c>
      <c r="G32" s="71">
        <v>30.5</v>
      </c>
      <c r="H32" s="71">
        <v>30.5</v>
      </c>
      <c r="I32" s="71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 x14ac:dyDescent="0.25">
      <c r="A33" s="71" t="s">
        <v>40</v>
      </c>
      <c r="B33" s="5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15" ht="33.75" customHeight="1" x14ac:dyDescent="0.25">
      <c r="A34" s="71" t="s">
        <v>42</v>
      </c>
      <c r="B34" s="5" t="s">
        <v>43</v>
      </c>
      <c r="C34" s="6">
        <v>241.67</v>
      </c>
      <c r="D34" s="6">
        <v>326.03000000000003</v>
      </c>
      <c r="E34" s="6">
        <v>647.70000000000005</v>
      </c>
      <c r="F34" s="6">
        <v>2688.56</v>
      </c>
      <c r="G34" s="6">
        <v>78.17</v>
      </c>
      <c r="H34" s="6">
        <v>117.24000000000001</v>
      </c>
      <c r="I34" s="6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 x14ac:dyDescent="0.25">
      <c r="A35" s="71" t="s">
        <v>254</v>
      </c>
      <c r="B35" s="5" t="s">
        <v>44</v>
      </c>
      <c r="C35" s="71">
        <v>185.19</v>
      </c>
      <c r="D35" s="71">
        <v>249.83</v>
      </c>
      <c r="E35" s="242">
        <v>496.32</v>
      </c>
      <c r="F35" s="71">
        <v>2060.1999999999998</v>
      </c>
      <c r="G35" s="71">
        <v>59.9</v>
      </c>
      <c r="H35" s="71">
        <v>89.84</v>
      </c>
      <c r="I35" s="71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 x14ac:dyDescent="0.25">
      <c r="A36" s="71"/>
      <c r="B36" s="7" t="s">
        <v>32</v>
      </c>
      <c r="C36" s="71">
        <v>0.5</v>
      </c>
      <c r="D36" s="71">
        <v>0.5</v>
      </c>
      <c r="E36" s="242"/>
      <c r="F36" s="71"/>
      <c r="G36" s="71">
        <v>0.5</v>
      </c>
      <c r="H36" s="71">
        <v>0.5</v>
      </c>
      <c r="I36" s="71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 x14ac:dyDescent="0.25">
      <c r="A37" s="71"/>
      <c r="B37" s="7" t="s">
        <v>34</v>
      </c>
      <c r="C37" s="71"/>
      <c r="D37" s="71"/>
      <c r="E37" s="242"/>
      <c r="F37" s="71"/>
      <c r="G37" s="71"/>
      <c r="H37" s="71"/>
      <c r="I37" s="71"/>
    </row>
    <row r="38" spans="1:15" s="83" customFormat="1" ht="30.75" customHeight="1" x14ac:dyDescent="0.25">
      <c r="A38" s="176"/>
      <c r="B38" s="110" t="s">
        <v>36</v>
      </c>
      <c r="C38" s="17">
        <v>30865</v>
      </c>
      <c r="D38" s="17">
        <v>31228.75</v>
      </c>
      <c r="E38" s="17" t="e">
        <v>#DIV/0!</v>
      </c>
      <c r="F38" s="17" t="e">
        <v>#DIV/0!</v>
      </c>
      <c r="G38" s="17">
        <v>29950</v>
      </c>
      <c r="H38" s="17">
        <v>29946.666666666668</v>
      </c>
      <c r="I38" s="17">
        <v>33363.333333333336</v>
      </c>
      <c r="K38" s="83">
        <v>54206.250000000007</v>
      </c>
      <c r="L38" s="83">
        <v>31228.75</v>
      </c>
      <c r="M38" s="83">
        <v>29950</v>
      </c>
      <c r="N38" s="83">
        <v>29946.666666666668</v>
      </c>
      <c r="O38" s="83">
        <v>33363.333333333336</v>
      </c>
    </row>
    <row r="39" spans="1:15" ht="19.149999999999999" customHeight="1" x14ac:dyDescent="0.25">
      <c r="A39" s="71" t="s">
        <v>255</v>
      </c>
      <c r="B39" s="5" t="s">
        <v>38</v>
      </c>
      <c r="C39" s="6">
        <v>56.48</v>
      </c>
      <c r="D39" s="6">
        <v>76.2</v>
      </c>
      <c r="E39" s="6">
        <v>151.38</v>
      </c>
      <c r="F39" s="6">
        <v>628.36</v>
      </c>
      <c r="G39" s="6">
        <v>18.27</v>
      </c>
      <c r="H39" s="6">
        <v>27.4</v>
      </c>
      <c r="I39" s="6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 x14ac:dyDescent="0.25">
      <c r="A40" s="71" t="s">
        <v>45</v>
      </c>
      <c r="B40" s="5" t="s">
        <v>46</v>
      </c>
      <c r="C40" s="71">
        <v>0</v>
      </c>
      <c r="D40" s="71"/>
      <c r="E40" s="242"/>
      <c r="F40" s="71"/>
      <c r="G40" s="71"/>
      <c r="H40" s="71"/>
      <c r="I40" s="71"/>
    </row>
    <row r="41" spans="1:15" ht="19.149999999999999" hidden="1" customHeight="1" x14ac:dyDescent="0.25">
      <c r="A41" s="71" t="s">
        <v>47</v>
      </c>
      <c r="B41" s="5" t="s">
        <v>48</v>
      </c>
      <c r="C41" s="71">
        <v>0</v>
      </c>
      <c r="D41" s="71"/>
      <c r="E41" s="242"/>
      <c r="F41" s="71"/>
      <c r="G41" s="71"/>
      <c r="H41" s="71"/>
      <c r="I41" s="71"/>
    </row>
    <row r="42" spans="1:15" ht="52.9" hidden="1" customHeight="1" x14ac:dyDescent="0.25">
      <c r="A42" s="71" t="s">
        <v>49</v>
      </c>
      <c r="B42" s="5" t="s">
        <v>50</v>
      </c>
      <c r="C42" s="71">
        <v>249.13</v>
      </c>
      <c r="D42" s="71"/>
      <c r="E42" s="242"/>
      <c r="F42" s="71"/>
      <c r="G42" s="71"/>
      <c r="H42" s="71"/>
      <c r="I42" s="71"/>
    </row>
    <row r="43" spans="1:15" ht="21" customHeight="1" x14ac:dyDescent="0.25">
      <c r="A43" s="71" t="s">
        <v>51</v>
      </c>
      <c r="B43" s="5" t="s">
        <v>52</v>
      </c>
      <c r="C43" s="71">
        <v>1378.71</v>
      </c>
      <c r="D43" s="6">
        <f t="shared" ref="D43:I43" si="0">D44+D49+D50+D54</f>
        <v>2448.3200000000002</v>
      </c>
      <c r="E43" s="6">
        <f t="shared" si="0"/>
        <v>6382.34</v>
      </c>
      <c r="F43" s="6">
        <f t="shared" si="0"/>
        <v>2018.29</v>
      </c>
      <c r="G43" s="6">
        <f t="shared" si="0"/>
        <v>514.27</v>
      </c>
      <c r="H43" s="6">
        <f t="shared" si="0"/>
        <v>771.4</v>
      </c>
      <c r="I43" s="6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 x14ac:dyDescent="0.25">
      <c r="A44" s="71" t="s">
        <v>53</v>
      </c>
      <c r="B44" s="5" t="s">
        <v>54</v>
      </c>
      <c r="C44" s="6">
        <v>188.94</v>
      </c>
      <c r="D44" s="6">
        <f t="shared" ref="D44:I44" si="1">D45</f>
        <v>303.29000000000002</v>
      </c>
      <c r="E44" s="6">
        <f t="shared" si="1"/>
        <v>1181.6300000000001</v>
      </c>
      <c r="F44" s="6">
        <f t="shared" si="1"/>
        <v>529.39</v>
      </c>
      <c r="G44" s="6">
        <f t="shared" si="1"/>
        <v>0</v>
      </c>
      <c r="H44" s="6">
        <f t="shared" si="1"/>
        <v>0</v>
      </c>
      <c r="I44" s="6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 x14ac:dyDescent="0.25">
      <c r="A45" s="71" t="s">
        <v>55</v>
      </c>
      <c r="B45" s="5" t="s">
        <v>56</v>
      </c>
      <c r="C45" s="6">
        <v>303.29000000000002</v>
      </c>
      <c r="D45" s="6">
        <f>G45+H45+I45</f>
        <v>303.29000000000002</v>
      </c>
      <c r="E45" s="243">
        <v>1181.6300000000001</v>
      </c>
      <c r="F45" s="6">
        <v>529.39</v>
      </c>
      <c r="G45" s="6">
        <v>0</v>
      </c>
      <c r="H45" s="6">
        <v>0</v>
      </c>
      <c r="I45" s="6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 x14ac:dyDescent="0.25">
      <c r="A46" s="71" t="s">
        <v>57</v>
      </c>
      <c r="B46" s="5" t="s">
        <v>250</v>
      </c>
      <c r="C46" s="6"/>
      <c r="D46" s="6"/>
      <c r="E46" s="243">
        <v>4950.4399999999996</v>
      </c>
      <c r="F46" s="6">
        <v>161.04</v>
      </c>
      <c r="G46" s="6"/>
      <c r="H46" s="6"/>
      <c r="I46" s="6"/>
    </row>
    <row r="47" spans="1:15" ht="31.5" hidden="1" x14ac:dyDescent="0.25">
      <c r="A47" s="71" t="s">
        <v>60</v>
      </c>
      <c r="B47" s="5" t="s">
        <v>61</v>
      </c>
      <c r="C47" s="6"/>
      <c r="D47" s="6"/>
      <c r="E47" s="243">
        <v>14304.9</v>
      </c>
      <c r="F47" s="6"/>
      <c r="G47" s="6"/>
      <c r="H47" s="6"/>
      <c r="I47" s="6"/>
    </row>
    <row r="48" spans="1:15" ht="31.5" hidden="1" x14ac:dyDescent="0.25">
      <c r="A48" s="71" t="s">
        <v>62</v>
      </c>
      <c r="B48" s="5" t="s">
        <v>63</v>
      </c>
      <c r="C48" s="6">
        <v>0</v>
      </c>
      <c r="D48" s="6"/>
      <c r="E48" s="243"/>
      <c r="F48" s="6"/>
      <c r="G48" s="6"/>
      <c r="H48" s="6"/>
      <c r="I48" s="6"/>
    </row>
    <row r="49" spans="1:15" ht="15.75" x14ac:dyDescent="0.25">
      <c r="A49" s="71" t="s">
        <v>64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L49">
        <v>0</v>
      </c>
    </row>
    <row r="50" spans="1:15" ht="31.5" x14ac:dyDescent="0.25">
      <c r="A50" s="71" t="s">
        <v>66</v>
      </c>
      <c r="B50" s="5" t="s">
        <v>67</v>
      </c>
      <c r="C50" s="71">
        <v>911.7</v>
      </c>
      <c r="D50" s="71">
        <v>1643.7</v>
      </c>
      <c r="E50" s="242">
        <v>3985.22</v>
      </c>
      <c r="F50" s="71">
        <v>1140.92</v>
      </c>
      <c r="G50" s="71">
        <v>394.08</v>
      </c>
      <c r="H50" s="71">
        <v>591.11</v>
      </c>
      <c r="I50" s="71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9" customFormat="1" ht="34.9" customHeight="1" x14ac:dyDescent="0.2">
      <c r="A51" s="66" t="s">
        <v>68</v>
      </c>
      <c r="B51" s="7" t="s">
        <v>69</v>
      </c>
      <c r="C51" s="66">
        <v>4.3</v>
      </c>
      <c r="D51" s="66">
        <v>4.3</v>
      </c>
      <c r="E51" s="66">
        <v>4.3</v>
      </c>
      <c r="F51" s="66">
        <v>4.3</v>
      </c>
      <c r="G51" s="66">
        <v>4.3</v>
      </c>
      <c r="H51" s="66">
        <v>4.3</v>
      </c>
      <c r="I51" s="66">
        <v>4.3</v>
      </c>
      <c r="K51" s="9">
        <v>4.3</v>
      </c>
      <c r="L51" s="9">
        <v>4.3</v>
      </c>
      <c r="M51" s="9">
        <v>4.3</v>
      </c>
      <c r="N51" s="9">
        <v>4.3</v>
      </c>
      <c r="O51" s="9">
        <v>4.3</v>
      </c>
    </row>
    <row r="52" spans="1:15" s="9" customFormat="1" ht="15.75" hidden="1" x14ac:dyDescent="0.2">
      <c r="A52" s="66" t="s">
        <v>70</v>
      </c>
      <c r="B52" s="7" t="s">
        <v>34</v>
      </c>
      <c r="C52" s="66"/>
      <c r="D52" s="66"/>
      <c r="E52" s="276"/>
      <c r="F52" s="66"/>
      <c r="G52" s="66"/>
      <c r="H52" s="66"/>
      <c r="I52" s="66"/>
    </row>
    <row r="53" spans="1:15" s="113" customFormat="1" ht="31.5" x14ac:dyDescent="0.2">
      <c r="A53" s="109" t="s">
        <v>71</v>
      </c>
      <c r="B53" s="110" t="s">
        <v>36</v>
      </c>
      <c r="C53" s="111">
        <v>17668.60465116279</v>
      </c>
      <c r="D53" s="111">
        <v>23890.988372093023</v>
      </c>
      <c r="E53" s="111">
        <v>57924.70930232558</v>
      </c>
      <c r="F53" s="111">
        <v>16583.139534883725</v>
      </c>
      <c r="G53" s="111">
        <v>22911.627906976744</v>
      </c>
      <c r="H53" s="111">
        <v>22911.240310077519</v>
      </c>
      <c r="I53" s="111">
        <v>25523.643410852714</v>
      </c>
      <c r="K53" s="113">
        <v>33949.273255813954</v>
      </c>
      <c r="L53" s="113">
        <v>23890.988372093023</v>
      </c>
      <c r="M53" s="113">
        <v>22911.627906976744</v>
      </c>
      <c r="N53" s="113">
        <v>22911.240310077519</v>
      </c>
      <c r="O53" s="113">
        <v>25523.643410852714</v>
      </c>
    </row>
    <row r="54" spans="1:15" ht="15.75" x14ac:dyDescent="0.25">
      <c r="A54" s="68" t="s">
        <v>72</v>
      </c>
      <c r="B54" s="5" t="s">
        <v>38</v>
      </c>
      <c r="C54" s="71">
        <v>278.07</v>
      </c>
      <c r="D54" s="71">
        <v>501.33000000000004</v>
      </c>
      <c r="E54" s="71">
        <v>1215.49</v>
      </c>
      <c r="F54" s="71">
        <v>347.98</v>
      </c>
      <c r="G54" s="71">
        <v>120.19</v>
      </c>
      <c r="H54" s="71">
        <v>180.29</v>
      </c>
      <c r="I54" s="71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 x14ac:dyDescent="0.25">
      <c r="A55" s="71" t="s">
        <v>73</v>
      </c>
      <c r="B55" s="5" t="s">
        <v>74</v>
      </c>
      <c r="C55" s="71">
        <v>188.65</v>
      </c>
      <c r="D55" s="6">
        <v>192.08</v>
      </c>
      <c r="E55" s="6">
        <v>7602.04</v>
      </c>
      <c r="F55" s="6">
        <v>526.63</v>
      </c>
      <c r="G55" s="6">
        <v>0</v>
      </c>
      <c r="H55" s="6">
        <v>0</v>
      </c>
      <c r="I55" s="6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 x14ac:dyDescent="0.25">
      <c r="A56" s="71" t="s">
        <v>75</v>
      </c>
      <c r="B56" s="5" t="s">
        <v>76</v>
      </c>
      <c r="C56" s="71"/>
      <c r="D56" s="6"/>
      <c r="E56" s="243"/>
      <c r="F56" s="6"/>
      <c r="G56" s="6"/>
      <c r="H56" s="6"/>
      <c r="I56" s="6"/>
    </row>
    <row r="57" spans="1:15" ht="31.5" hidden="1" x14ac:dyDescent="0.25">
      <c r="A57" s="71" t="s">
        <v>77</v>
      </c>
      <c r="B57" s="5" t="s">
        <v>78</v>
      </c>
      <c r="C57" s="71"/>
      <c r="D57" s="6"/>
      <c r="E57" s="243">
        <v>1261</v>
      </c>
      <c r="F57" s="6"/>
      <c r="G57" s="6"/>
      <c r="H57" s="6"/>
      <c r="I57" s="6"/>
    </row>
    <row r="58" spans="1:15" s="9" customFormat="1" ht="15.75" hidden="1" x14ac:dyDescent="0.2">
      <c r="A58" s="66" t="s">
        <v>79</v>
      </c>
      <c r="B58" s="7" t="s">
        <v>80</v>
      </c>
      <c r="C58" s="66"/>
      <c r="D58" s="8"/>
      <c r="E58" s="278"/>
      <c r="F58" s="8"/>
      <c r="G58" s="8"/>
      <c r="H58" s="8"/>
      <c r="I58" s="8"/>
    </row>
    <row r="59" spans="1:15" ht="15.75" hidden="1" x14ac:dyDescent="0.25">
      <c r="A59" s="71" t="s">
        <v>81</v>
      </c>
      <c r="B59" s="5" t="s">
        <v>38</v>
      </c>
      <c r="C59" s="71"/>
      <c r="D59" s="6"/>
      <c r="E59" s="243">
        <v>383.3</v>
      </c>
      <c r="F59" s="6"/>
      <c r="G59" s="6"/>
      <c r="H59" s="6"/>
      <c r="I59" s="6"/>
    </row>
    <row r="60" spans="1:15" ht="31.5" hidden="1" x14ac:dyDescent="0.25">
      <c r="A60" s="71" t="s">
        <v>82</v>
      </c>
      <c r="B60" s="5" t="s">
        <v>87</v>
      </c>
      <c r="C60" s="71"/>
      <c r="D60" s="6"/>
      <c r="E60" s="243"/>
      <c r="F60" s="6"/>
      <c r="G60" s="6"/>
      <c r="H60" s="6"/>
      <c r="I60" s="6"/>
    </row>
    <row r="61" spans="1:15" ht="15.75" hidden="1" x14ac:dyDescent="0.25">
      <c r="A61" s="71" t="s">
        <v>85</v>
      </c>
      <c r="B61" s="5" t="s">
        <v>89</v>
      </c>
      <c r="C61" s="71"/>
      <c r="D61" s="6"/>
      <c r="E61" s="243"/>
      <c r="F61" s="6"/>
      <c r="G61" s="6"/>
      <c r="H61" s="6"/>
      <c r="I61" s="6"/>
    </row>
    <row r="62" spans="1:15" ht="31.5" customHeight="1" x14ac:dyDescent="0.25">
      <c r="A62" s="71" t="s">
        <v>75</v>
      </c>
      <c r="B62" s="5" t="s">
        <v>91</v>
      </c>
      <c r="C62" s="71">
        <v>152.80000000000001</v>
      </c>
      <c r="D62" s="6">
        <f>G62+H62+I62</f>
        <v>192.08</v>
      </c>
      <c r="E62" s="243"/>
      <c r="F62" s="6"/>
      <c r="G62" s="6">
        <v>0</v>
      </c>
      <c r="H62" s="6">
        <v>0</v>
      </c>
      <c r="I62" s="6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 x14ac:dyDescent="0.25">
      <c r="A63" s="71" t="s">
        <v>88</v>
      </c>
      <c r="B63" s="5" t="s">
        <v>93</v>
      </c>
      <c r="C63" s="71"/>
      <c r="D63" s="6"/>
      <c r="E63" s="243"/>
      <c r="F63" s="6"/>
      <c r="G63" s="6"/>
      <c r="H63" s="6"/>
      <c r="I63" s="6"/>
    </row>
    <row r="64" spans="1:15" ht="32.450000000000003" hidden="1" customHeight="1" x14ac:dyDescent="0.25">
      <c r="A64" s="71" t="s">
        <v>90</v>
      </c>
      <c r="B64" s="5" t="s">
        <v>95</v>
      </c>
      <c r="C64" s="71"/>
      <c r="D64" s="6"/>
      <c r="E64" s="243"/>
      <c r="F64" s="6"/>
      <c r="G64" s="6"/>
      <c r="H64" s="6"/>
      <c r="I64" s="6"/>
    </row>
    <row r="65" spans="1:15" ht="32.450000000000003" hidden="1" customHeight="1" x14ac:dyDescent="0.25">
      <c r="A65" s="71" t="s">
        <v>92</v>
      </c>
      <c r="B65" s="5" t="s">
        <v>96</v>
      </c>
      <c r="C65" s="71"/>
      <c r="D65" s="6"/>
      <c r="E65" s="243">
        <v>165.12</v>
      </c>
      <c r="F65" s="6">
        <v>94.92</v>
      </c>
      <c r="G65" s="6"/>
      <c r="H65" s="6"/>
      <c r="I65" s="6"/>
    </row>
    <row r="66" spans="1:15" ht="32.450000000000003" hidden="1" customHeight="1" x14ac:dyDescent="0.25">
      <c r="A66" s="71" t="s">
        <v>94</v>
      </c>
      <c r="B66" s="5" t="s">
        <v>98</v>
      </c>
      <c r="C66" s="71"/>
      <c r="D66" s="6"/>
      <c r="E66" s="243"/>
      <c r="F66" s="6"/>
      <c r="G66" s="6"/>
      <c r="H66" s="6"/>
      <c r="I66" s="6"/>
    </row>
    <row r="67" spans="1:15" ht="32.450000000000003" hidden="1" customHeight="1" x14ac:dyDescent="0.25">
      <c r="A67" s="71" t="s">
        <v>251</v>
      </c>
      <c r="B67" s="5" t="s">
        <v>100</v>
      </c>
      <c r="C67" s="71"/>
      <c r="D67" s="6"/>
      <c r="E67" s="243"/>
      <c r="F67" s="6"/>
      <c r="G67" s="6"/>
      <c r="H67" s="6"/>
      <c r="I67" s="6"/>
    </row>
    <row r="68" spans="1:15" ht="46.5" customHeight="1" x14ac:dyDescent="0.25">
      <c r="A68" s="71" t="s">
        <v>77</v>
      </c>
      <c r="B68" s="5" t="s">
        <v>101</v>
      </c>
      <c r="C68" s="71">
        <v>35.85</v>
      </c>
      <c r="D68" s="6">
        <v>0</v>
      </c>
      <c r="E68" s="243">
        <v>5792.62</v>
      </c>
      <c r="F68" s="6">
        <v>431.71</v>
      </c>
      <c r="G68" s="6">
        <v>0</v>
      </c>
      <c r="H68" s="6">
        <v>0</v>
      </c>
      <c r="I68" s="6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 x14ac:dyDescent="0.25">
      <c r="A69" s="71" t="s">
        <v>102</v>
      </c>
      <c r="B69" s="5" t="s">
        <v>103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5" ht="31.5" hidden="1" x14ac:dyDescent="0.25">
      <c r="A70" s="71" t="s">
        <v>104</v>
      </c>
      <c r="B70" s="5" t="s">
        <v>105</v>
      </c>
      <c r="C70" s="71"/>
      <c r="D70" s="6"/>
      <c r="E70" s="243"/>
      <c r="F70" s="6"/>
      <c r="G70" s="6"/>
      <c r="H70" s="6"/>
      <c r="I70" s="6"/>
    </row>
    <row r="71" spans="1:15" ht="31.5" hidden="1" x14ac:dyDescent="0.25">
      <c r="A71" s="71" t="s">
        <v>106</v>
      </c>
      <c r="B71" s="5" t="s">
        <v>107</v>
      </c>
      <c r="C71" s="71"/>
      <c r="D71" s="6"/>
      <c r="E71" s="243"/>
      <c r="F71" s="6"/>
      <c r="G71" s="6"/>
      <c r="H71" s="6"/>
      <c r="I71" s="6"/>
    </row>
    <row r="72" spans="1:15" s="9" customFormat="1" ht="15.75" hidden="1" x14ac:dyDescent="0.2">
      <c r="A72" s="66" t="s">
        <v>108</v>
      </c>
      <c r="B72" s="7" t="s">
        <v>80</v>
      </c>
      <c r="C72" s="66"/>
      <c r="D72" s="8"/>
      <c r="E72" s="278"/>
      <c r="F72" s="8"/>
      <c r="G72" s="8"/>
      <c r="H72" s="8"/>
      <c r="I72" s="8"/>
    </row>
    <row r="73" spans="1:15" ht="15.75" hidden="1" x14ac:dyDescent="0.25">
      <c r="A73" s="71" t="s">
        <v>109</v>
      </c>
      <c r="B73" s="5" t="s">
        <v>38</v>
      </c>
      <c r="C73" s="71"/>
      <c r="D73" s="6"/>
      <c r="E73" s="243"/>
      <c r="F73" s="6"/>
      <c r="G73" s="6"/>
      <c r="H73" s="6"/>
      <c r="I73" s="6"/>
    </row>
    <row r="74" spans="1:15" ht="30.6" hidden="1" customHeight="1" x14ac:dyDescent="0.25">
      <c r="A74" s="71" t="s">
        <v>110</v>
      </c>
      <c r="B74" s="5" t="s">
        <v>111</v>
      </c>
      <c r="C74" s="71"/>
      <c r="D74" s="6"/>
      <c r="E74" s="243"/>
      <c r="F74" s="6"/>
      <c r="G74" s="6"/>
      <c r="H74" s="6"/>
      <c r="I74" s="6"/>
    </row>
    <row r="75" spans="1:15" ht="22.15" customHeight="1" x14ac:dyDescent="0.25">
      <c r="A75" s="71" t="s">
        <v>112</v>
      </c>
      <c r="B75" s="5" t="s">
        <v>113</v>
      </c>
      <c r="C75" s="71">
        <v>169</v>
      </c>
      <c r="D75" s="6">
        <f>G75+H75+I75</f>
        <v>258.17</v>
      </c>
      <c r="E75" s="243"/>
      <c r="F75" s="6"/>
      <c r="G75" s="6">
        <v>0</v>
      </c>
      <c r="H75" s="6">
        <v>0</v>
      </c>
      <c r="I75" s="6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 x14ac:dyDescent="0.25">
      <c r="A76" s="71" t="s">
        <v>228</v>
      </c>
      <c r="B76" s="5" t="s">
        <v>114</v>
      </c>
      <c r="C76" s="6">
        <v>0</v>
      </c>
      <c r="D76" s="6">
        <v>0</v>
      </c>
      <c r="E76" s="6">
        <v>176.71</v>
      </c>
      <c r="F76" s="6">
        <v>4658.3899999999994</v>
      </c>
      <c r="G76" s="6">
        <v>0</v>
      </c>
      <c r="H76" s="6">
        <v>0</v>
      </c>
      <c r="I76" s="6">
        <v>0</v>
      </c>
      <c r="K76">
        <v>0</v>
      </c>
      <c r="L76">
        <v>0</v>
      </c>
    </row>
    <row r="77" spans="1:15" ht="15.75" hidden="1" x14ac:dyDescent="0.25">
      <c r="A77" s="71" t="s">
        <v>237</v>
      </c>
      <c r="B77" s="5" t="s">
        <v>115</v>
      </c>
      <c r="C77" s="71"/>
      <c r="D77" s="6"/>
      <c r="E77" s="243">
        <v>176.71</v>
      </c>
      <c r="F77" s="6">
        <v>4658.3899999999994</v>
      </c>
      <c r="G77" s="6"/>
      <c r="H77" s="6"/>
      <c r="I77" s="6"/>
    </row>
    <row r="78" spans="1:15" ht="15.75" hidden="1" x14ac:dyDescent="0.25">
      <c r="A78" s="71" t="s">
        <v>116</v>
      </c>
      <c r="B78" s="5" t="s">
        <v>117</v>
      </c>
      <c r="C78" s="71"/>
      <c r="D78" s="6"/>
      <c r="E78" s="243"/>
      <c r="F78" s="6"/>
      <c r="G78" s="6"/>
      <c r="H78" s="6"/>
      <c r="I78" s="6"/>
    </row>
    <row r="79" spans="1:15" ht="15.75" hidden="1" x14ac:dyDescent="0.25">
      <c r="A79" s="71" t="s">
        <v>118</v>
      </c>
      <c r="B79" s="5" t="s">
        <v>119</v>
      </c>
      <c r="C79" s="71"/>
      <c r="D79" s="6"/>
      <c r="E79" s="243"/>
      <c r="F79" s="6"/>
      <c r="G79" s="6"/>
      <c r="H79" s="6"/>
      <c r="I79" s="6"/>
    </row>
    <row r="80" spans="1:15" ht="34.9" customHeight="1" x14ac:dyDescent="0.25">
      <c r="A80" s="71" t="s">
        <v>120</v>
      </c>
      <c r="B80" s="5" t="s">
        <v>121</v>
      </c>
      <c r="C80" s="71">
        <v>98.7</v>
      </c>
      <c r="D80" s="6">
        <f>D83</f>
        <v>131.65</v>
      </c>
      <c r="E80" s="6">
        <f>E83</f>
        <v>0</v>
      </c>
      <c r="F80" s="6">
        <f>F83</f>
        <v>0</v>
      </c>
      <c r="G80" s="6">
        <f>G83</f>
        <v>0</v>
      </c>
      <c r="H80" s="6">
        <f>H83</f>
        <v>0</v>
      </c>
      <c r="I80" s="6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 x14ac:dyDescent="0.25">
      <c r="A81" s="71" t="s">
        <v>122</v>
      </c>
      <c r="B81" s="279" t="s">
        <v>229</v>
      </c>
      <c r="C81" s="71">
        <v>0</v>
      </c>
      <c r="D81" s="6"/>
      <c r="E81" s="243"/>
      <c r="F81" s="6"/>
      <c r="G81" s="6"/>
      <c r="H81" s="6"/>
      <c r="I81" s="6"/>
    </row>
    <row r="82" spans="1:15" ht="40.9" hidden="1" customHeight="1" x14ac:dyDescent="0.25">
      <c r="A82" s="71" t="s">
        <v>123</v>
      </c>
      <c r="B82" s="279" t="s">
        <v>124</v>
      </c>
      <c r="C82" s="71">
        <v>0</v>
      </c>
      <c r="D82" s="6"/>
      <c r="E82" s="243">
        <v>943.42</v>
      </c>
      <c r="F82" s="6">
        <v>1407.19</v>
      </c>
      <c r="G82" s="6"/>
      <c r="H82" s="6"/>
      <c r="I82" s="6"/>
    </row>
    <row r="83" spans="1:15" ht="18.600000000000001" customHeight="1" x14ac:dyDescent="0.25">
      <c r="A83" s="71" t="s">
        <v>122</v>
      </c>
      <c r="B83" s="280" t="s">
        <v>126</v>
      </c>
      <c r="C83" s="71">
        <v>98.7</v>
      </c>
      <c r="D83" s="6">
        <f>G83+H83+I83</f>
        <v>131.65</v>
      </c>
      <c r="E83" s="243"/>
      <c r="F83" s="6"/>
      <c r="G83" s="6">
        <v>0</v>
      </c>
      <c r="H83" s="6">
        <v>0</v>
      </c>
      <c r="I83" s="6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9" customFormat="1" ht="19.5" customHeight="1" x14ac:dyDescent="0.2">
      <c r="A84" s="71"/>
      <c r="B84" s="5" t="s">
        <v>127</v>
      </c>
      <c r="C84" s="6">
        <v>11834.125000000002</v>
      </c>
      <c r="D84" s="6">
        <f t="shared" ref="D84:I84" si="2">D10+D43+D55+D69+D75+D76+D80</f>
        <v>14622.99</v>
      </c>
      <c r="E84" s="6">
        <f t="shared" si="2"/>
        <v>20871.739999999998</v>
      </c>
      <c r="F84" s="6">
        <f t="shared" si="2"/>
        <v>23042.59</v>
      </c>
      <c r="G84" s="6">
        <f t="shared" si="2"/>
        <v>3330.06</v>
      </c>
      <c r="H84" s="6">
        <f t="shared" si="2"/>
        <v>4993.9999999999991</v>
      </c>
      <c r="I84" s="6">
        <f t="shared" si="2"/>
        <v>6298.9299999999985</v>
      </c>
      <c r="K84" s="19">
        <v>18618.574639999999</v>
      </c>
      <c r="L84" s="19">
        <v>14622.99</v>
      </c>
      <c r="M84" s="19">
        <v>3330.06</v>
      </c>
      <c r="N84" s="19">
        <v>4993.9999999999991</v>
      </c>
      <c r="O84" s="19">
        <v>6298.9299999999985</v>
      </c>
    </row>
    <row r="85" spans="1:15" s="19" customFormat="1" ht="20.25" customHeight="1" x14ac:dyDescent="0.2">
      <c r="A85" s="71">
        <v>8</v>
      </c>
      <c r="B85" s="5" t="s">
        <v>128</v>
      </c>
      <c r="C85" s="6">
        <v>0.96162580672419784</v>
      </c>
      <c r="D85" s="6">
        <f t="shared" ref="D85:I85" si="3">D86/D84*100</f>
        <v>0.10900643438858948</v>
      </c>
      <c r="E85" s="6">
        <f t="shared" si="3"/>
        <v>3.9828974488950135</v>
      </c>
      <c r="F85" s="6">
        <f t="shared" si="3"/>
        <v>0.20830991655017947</v>
      </c>
      <c r="G85" s="6">
        <f t="shared" si="3"/>
        <v>0.11170969892434371</v>
      </c>
      <c r="H85" s="6">
        <f t="shared" si="3"/>
        <v>0.12234681617941531</v>
      </c>
      <c r="I85" s="6">
        <f t="shared" si="3"/>
        <v>9.7000601689493302E-2</v>
      </c>
      <c r="K85" s="19">
        <v>0.49735278768901509</v>
      </c>
      <c r="L85" s="19">
        <v>0.10900643438858948</v>
      </c>
      <c r="M85" s="19">
        <v>0.11170969892434371</v>
      </c>
      <c r="N85" s="19">
        <v>0.12234681617941531</v>
      </c>
      <c r="O85" s="19">
        <v>9.7000601689493302E-2</v>
      </c>
    </row>
    <row r="86" spans="1:15" ht="19.5" customHeight="1" x14ac:dyDescent="0.25">
      <c r="A86" s="71">
        <v>9</v>
      </c>
      <c r="B86" s="5" t="s">
        <v>129</v>
      </c>
      <c r="C86" s="71">
        <v>113.8</v>
      </c>
      <c r="D86" s="71">
        <v>15.94</v>
      </c>
      <c r="E86" s="71">
        <v>831.3</v>
      </c>
      <c r="F86" s="71">
        <v>48</v>
      </c>
      <c r="G86" s="71">
        <v>3.7199999999999998</v>
      </c>
      <c r="H86" s="71">
        <v>6.1099999999999994</v>
      </c>
      <c r="I86" s="71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 x14ac:dyDescent="0.25">
      <c r="A87" s="71" t="s">
        <v>191</v>
      </c>
      <c r="B87" s="5" t="s">
        <v>130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</row>
    <row r="88" spans="1:15" ht="15.75" x14ac:dyDescent="0.25">
      <c r="A88" s="71" t="s">
        <v>192</v>
      </c>
      <c r="B88" s="280" t="s">
        <v>131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15" ht="30" customHeight="1" x14ac:dyDescent="0.25">
      <c r="A89" s="68" t="s">
        <v>193</v>
      </c>
      <c r="B89" s="280" t="s">
        <v>132</v>
      </c>
      <c r="C89" s="6">
        <v>94.83</v>
      </c>
      <c r="D89" s="6">
        <v>12.86</v>
      </c>
      <c r="E89" s="243">
        <v>190</v>
      </c>
      <c r="F89" s="6">
        <v>40</v>
      </c>
      <c r="G89" s="6">
        <v>3</v>
      </c>
      <c r="H89" s="6">
        <v>4.93</v>
      </c>
      <c r="I89" s="6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 x14ac:dyDescent="0.25">
      <c r="A90" s="71" t="s">
        <v>194</v>
      </c>
      <c r="B90" s="280" t="s">
        <v>133</v>
      </c>
      <c r="C90" s="6">
        <v>0</v>
      </c>
      <c r="D90" s="6">
        <v>0</v>
      </c>
      <c r="E90" s="243"/>
      <c r="F90" s="6"/>
      <c r="G90" s="6">
        <v>0</v>
      </c>
      <c r="H90" s="6">
        <v>0</v>
      </c>
      <c r="I90" s="6">
        <v>0</v>
      </c>
      <c r="K90">
        <v>0</v>
      </c>
      <c r="L90">
        <v>0</v>
      </c>
    </row>
    <row r="91" spans="1:15" ht="15.75" x14ac:dyDescent="0.25">
      <c r="A91" s="71" t="s">
        <v>195</v>
      </c>
      <c r="B91" s="280" t="s">
        <v>230</v>
      </c>
      <c r="C91" s="71">
        <v>18.97</v>
      </c>
      <c r="D91" s="71">
        <v>3.08</v>
      </c>
      <c r="E91" s="71">
        <v>641.29999999999995</v>
      </c>
      <c r="F91" s="71">
        <v>8</v>
      </c>
      <c r="G91" s="71">
        <v>0.72</v>
      </c>
      <c r="H91" s="71">
        <v>1.18</v>
      </c>
      <c r="I91" s="71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 x14ac:dyDescent="0.25">
      <c r="A92" s="255" t="s">
        <v>231</v>
      </c>
      <c r="B92" s="280" t="s">
        <v>232</v>
      </c>
      <c r="C92" s="71">
        <v>18.97</v>
      </c>
      <c r="D92" s="71">
        <v>3.08</v>
      </c>
      <c r="E92" s="242">
        <v>641.29999999999995</v>
      </c>
      <c r="F92" s="71">
        <v>8</v>
      </c>
      <c r="G92" s="71">
        <v>0.72</v>
      </c>
      <c r="H92" s="71">
        <v>1.18</v>
      </c>
      <c r="I92" s="71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9" customFormat="1" ht="15.75" x14ac:dyDescent="0.2">
      <c r="A93" s="71">
        <v>10</v>
      </c>
      <c r="B93" s="5" t="s">
        <v>135</v>
      </c>
      <c r="C93" s="6">
        <v>11947.925000000001</v>
      </c>
      <c r="D93" s="6">
        <f t="shared" ref="D93:I93" si="4">D84+D86</f>
        <v>14638.93</v>
      </c>
      <c r="E93" s="6">
        <f t="shared" si="4"/>
        <v>21703.039999999997</v>
      </c>
      <c r="F93" s="6">
        <f t="shared" si="4"/>
        <v>23090.59</v>
      </c>
      <c r="G93" s="6">
        <f t="shared" si="4"/>
        <v>3333.7799999999997</v>
      </c>
      <c r="H93" s="6">
        <f t="shared" si="4"/>
        <v>5000.1099999999988</v>
      </c>
      <c r="I93" s="6">
        <f t="shared" si="4"/>
        <v>6305.0399999999981</v>
      </c>
      <c r="K93" s="19">
        <v>18711.174639999997</v>
      </c>
      <c r="L93" s="19">
        <v>14638.93</v>
      </c>
      <c r="M93" s="19">
        <v>3333.7799999999997</v>
      </c>
      <c r="N93" s="19">
        <v>5000.1099999999988</v>
      </c>
      <c r="O93" s="19">
        <v>6305.0399999999981</v>
      </c>
    </row>
    <row r="94" spans="1:15" s="19" customFormat="1" ht="30.75" customHeight="1" x14ac:dyDescent="0.2">
      <c r="A94" s="71">
        <v>11</v>
      </c>
      <c r="B94" s="73" t="s">
        <v>408</v>
      </c>
      <c r="C94" s="71">
        <v>469.5</v>
      </c>
      <c r="D94" s="71">
        <v>499.4</v>
      </c>
      <c r="E94" s="242"/>
      <c r="F94" s="71"/>
      <c r="G94" s="71">
        <v>124.86</v>
      </c>
      <c r="H94" s="71">
        <v>187.27</v>
      </c>
      <c r="I94" s="71">
        <v>187.27</v>
      </c>
      <c r="K94" s="19">
        <v>499.4</v>
      </c>
      <c r="L94" s="19">
        <v>499.4</v>
      </c>
      <c r="M94" s="19">
        <v>124.86</v>
      </c>
      <c r="N94" s="19">
        <v>187.27</v>
      </c>
      <c r="O94" s="19">
        <v>187.27</v>
      </c>
    </row>
    <row r="95" spans="1:15" ht="15.75" x14ac:dyDescent="0.25">
      <c r="A95" s="71">
        <v>12</v>
      </c>
      <c r="B95" s="73" t="s">
        <v>137</v>
      </c>
      <c r="C95" s="71">
        <f t="shared" ref="C95:I95" si="5">ROUND(C93/C94,2)</f>
        <v>25.45</v>
      </c>
      <c r="D95" s="6">
        <f t="shared" si="5"/>
        <v>29.31</v>
      </c>
      <c r="E95" s="6" t="e">
        <f t="shared" si="5"/>
        <v>#DIV/0!</v>
      </c>
      <c r="F95" s="6" t="e">
        <f t="shared" si="5"/>
        <v>#DIV/0!</v>
      </c>
      <c r="G95" s="6">
        <f t="shared" si="5"/>
        <v>26.7</v>
      </c>
      <c r="H95" s="6">
        <f t="shared" si="5"/>
        <v>26.7</v>
      </c>
      <c r="I95" s="6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 x14ac:dyDescent="0.25">
      <c r="A96" s="71"/>
      <c r="B96" s="5" t="s">
        <v>138</v>
      </c>
      <c r="C96" s="71">
        <f>ROUND(C95*1.18,2)</f>
        <v>30.03</v>
      </c>
      <c r="D96" s="71">
        <f t="shared" ref="D96:I96" si="6">ROUND(D95*1.18,2)</f>
        <v>34.590000000000003</v>
      </c>
      <c r="E96" s="71" t="e">
        <f t="shared" si="6"/>
        <v>#DIV/0!</v>
      </c>
      <c r="F96" s="71" t="e">
        <f t="shared" si="6"/>
        <v>#DIV/0!</v>
      </c>
      <c r="G96" s="71">
        <f t="shared" si="6"/>
        <v>31.51</v>
      </c>
      <c r="H96" s="71">
        <f t="shared" si="6"/>
        <v>31.51</v>
      </c>
      <c r="I96" s="71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 x14ac:dyDescent="0.25">
      <c r="A97" s="71"/>
      <c r="B97" s="5" t="s">
        <v>403</v>
      </c>
      <c r="C97" s="71">
        <v>31.51</v>
      </c>
      <c r="D97" s="6"/>
      <c r="E97" s="242"/>
      <c r="F97" s="71"/>
      <c r="G97" s="71"/>
      <c r="H97" s="71"/>
      <c r="I97" s="71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 x14ac:dyDescent="0.25">
      <c r="A98" s="71"/>
      <c r="B98" s="5" t="s">
        <v>139</v>
      </c>
      <c r="C98" s="71"/>
      <c r="D98" s="71"/>
      <c r="E98" s="242"/>
      <c r="F98" s="71"/>
      <c r="G98" s="6">
        <v>100</v>
      </c>
      <c r="H98" s="6">
        <v>100</v>
      </c>
      <c r="I98" s="6">
        <f>I96/H96*100</f>
        <v>126.08695652173911</v>
      </c>
    </row>
    <row r="106" spans="1:15" x14ac:dyDescent="0.25">
      <c r="D106" s="25"/>
      <c r="E106" s="25"/>
      <c r="F106" s="25"/>
      <c r="G106" s="25"/>
      <c r="H106" s="25"/>
      <c r="I106" s="25"/>
    </row>
    <row r="112" spans="1:15" x14ac:dyDescent="0.25">
      <c r="D112" s="25"/>
      <c r="I112" s="25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вода</vt:lpstr>
      <vt:lpstr>ФОТ</vt:lpstr>
      <vt:lpstr>объемы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электроэнергия</vt:lpstr>
      <vt:lpstr>ФОТ АУП</vt:lpstr>
      <vt:lpstr>водный налог</vt:lpstr>
      <vt:lpstr>приложение 3а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Шевченко</cp:lastModifiedBy>
  <cp:lastPrinted>2013-12-04T03:37:12Z</cp:lastPrinted>
  <dcterms:created xsi:type="dcterms:W3CDTF">2013-07-04T03:05:04Z</dcterms:created>
  <dcterms:modified xsi:type="dcterms:W3CDTF">2013-12-04T03:38:03Z</dcterms:modified>
</cp:coreProperties>
</file>